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https://digitalgojp.sharepoint.com/sites/CAO_FS0878/lib0012/14_令和7年度/13トイレ確保・管理計画/"/>
    </mc:Choice>
  </mc:AlternateContent>
  <xr:revisionPtr revIDLastSave="131" documentId="8_{2344201A-340A-4A60-A8B5-5DF4B738333A}" xr6:coauthVersionLast="47" xr6:coauthVersionMax="47" xr10:uidLastSave="{B70D90FD-520B-47F1-AE4A-39C13DCD2BD0}"/>
  <bookViews>
    <workbookView xWindow="60" yWindow="1140" windowWidth="28740" windowHeight="15060" xr2:uid="{6D07C9C4-B579-4FC3-9B7B-AF396ADEB939}"/>
  </bookViews>
  <sheets>
    <sheet name="様式" sheetId="10" r:id="rId1"/>
    <sheet name="記入例 " sheetId="7" r:id="rId2"/>
    <sheet name="各事項補足説明" sheetId="3" r:id="rId3"/>
  </sheets>
  <definedNames>
    <definedName name="_xlnm.Print_Area" localSheetId="2">各事項補足説明!$A$1:$O$66</definedName>
    <definedName name="_xlnm.Print_Area" localSheetId="1">'記入例 '!$A$1:$O$70</definedName>
    <definedName name="_xlnm.Print_Area" localSheetId="0">様式!$A$1:$O$70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9" i="10" l="1"/>
  <c r="D68" i="10"/>
  <c r="E69" i="10" s="1"/>
  <c r="C68" i="10"/>
  <c r="E64" i="10"/>
  <c r="D64" i="10"/>
  <c r="P63" i="10"/>
  <c r="F63" i="10"/>
  <c r="P62" i="10"/>
  <c r="F62" i="10"/>
  <c r="P61" i="10"/>
  <c r="F61" i="10"/>
  <c r="P60" i="10"/>
  <c r="F60" i="10"/>
  <c r="P59" i="10"/>
  <c r="F59" i="10"/>
  <c r="P58" i="10"/>
  <c r="F58" i="10"/>
  <c r="P57" i="10"/>
  <c r="F57" i="10"/>
  <c r="P56" i="10"/>
  <c r="F56" i="10"/>
  <c r="H49" i="10"/>
  <c r="I49" i="10" s="1"/>
  <c r="H48" i="10"/>
  <c r="I48" i="10" s="1"/>
  <c r="H47" i="10"/>
  <c r="I47" i="10" s="1"/>
  <c r="H46" i="10"/>
  <c r="H44" i="10"/>
  <c r="H50" i="10" s="1"/>
  <c r="L48" i="10" s="1"/>
  <c r="K36" i="10"/>
  <c r="X36" i="10" s="1"/>
  <c r="K35" i="10"/>
  <c r="R35" i="10" s="1"/>
  <c r="K34" i="10"/>
  <c r="X34" i="10" s="1"/>
  <c r="K33" i="10"/>
  <c r="T33" i="10" s="1"/>
  <c r="K32" i="10"/>
  <c r="X32" i="10" s="1"/>
  <c r="C26" i="10"/>
  <c r="J24" i="10"/>
  <c r="X24" i="10" s="1"/>
  <c r="J23" i="10"/>
  <c r="R23" i="10" s="1"/>
  <c r="J22" i="10"/>
  <c r="X22" i="10" s="1"/>
  <c r="J21" i="10"/>
  <c r="T21" i="10" s="1"/>
  <c r="J19" i="10"/>
  <c r="X19" i="10" s="1"/>
  <c r="L14" i="10"/>
  <c r="X13" i="10"/>
  <c r="W13" i="10"/>
  <c r="V13" i="10"/>
  <c r="U13" i="10"/>
  <c r="T13" i="10"/>
  <c r="S13" i="10"/>
  <c r="R13" i="10"/>
  <c r="W13" i="7"/>
  <c r="E64" i="7"/>
  <c r="D64" i="7"/>
  <c r="K36" i="7"/>
  <c r="T36" i="7" s="1"/>
  <c r="R36" i="7"/>
  <c r="S36" i="7"/>
  <c r="V36" i="7"/>
  <c r="S34" i="7"/>
  <c r="J22" i="7"/>
  <c r="V22" i="7" s="1"/>
  <c r="J21" i="7"/>
  <c r="S21" i="7" s="1"/>
  <c r="R21" i="7"/>
  <c r="R13" i="7"/>
  <c r="K32" i="7"/>
  <c r="T32" i="7" s="1"/>
  <c r="K33" i="7"/>
  <c r="X33" i="7" s="1"/>
  <c r="C69" i="7"/>
  <c r="D68" i="7"/>
  <c r="C68" i="7"/>
  <c r="P63" i="7"/>
  <c r="F63" i="7"/>
  <c r="P62" i="7"/>
  <c r="F62" i="7"/>
  <c r="P56" i="7"/>
  <c r="F56" i="7"/>
  <c r="P61" i="7"/>
  <c r="F61" i="7"/>
  <c r="P60" i="7"/>
  <c r="F60" i="7"/>
  <c r="P59" i="7"/>
  <c r="F59" i="7"/>
  <c r="P58" i="7"/>
  <c r="F58" i="7"/>
  <c r="P57" i="7"/>
  <c r="F57" i="7"/>
  <c r="H44" i="7"/>
  <c r="H49" i="7"/>
  <c r="I49" i="7" s="1"/>
  <c r="H48" i="7"/>
  <c r="I48" i="7" s="1"/>
  <c r="H47" i="7"/>
  <c r="I47" i="7" s="1"/>
  <c r="H46" i="7"/>
  <c r="K35" i="7"/>
  <c r="T35" i="7" s="1"/>
  <c r="K34" i="7"/>
  <c r="X34" i="7" s="1"/>
  <c r="C26" i="7"/>
  <c r="J19" i="7"/>
  <c r="X19" i="7" s="1"/>
  <c r="J24" i="7"/>
  <c r="U24" i="7" s="1"/>
  <c r="J23" i="7"/>
  <c r="T23" i="7" s="1"/>
  <c r="L14" i="7"/>
  <c r="L42" i="7" s="1"/>
  <c r="X13" i="7"/>
  <c r="V13" i="7"/>
  <c r="U13" i="7"/>
  <c r="T13" i="7"/>
  <c r="S13" i="7"/>
  <c r="F41" i="3"/>
  <c r="E50" i="3"/>
  <c r="V21" i="10" l="1"/>
  <c r="X21" i="10"/>
  <c r="W21" i="10"/>
  <c r="U21" i="10"/>
  <c r="J25" i="7"/>
  <c r="L18" i="7" s="1"/>
  <c r="L45" i="7" s="1"/>
  <c r="M49" i="7" s="1"/>
  <c r="I50" i="10"/>
  <c r="R36" i="10"/>
  <c r="U33" i="10"/>
  <c r="W33" i="10"/>
  <c r="V33" i="10"/>
  <c r="X33" i="10"/>
  <c r="S36" i="10"/>
  <c r="R34" i="10"/>
  <c r="S34" i="10"/>
  <c r="X35" i="10"/>
  <c r="U35" i="10"/>
  <c r="W35" i="10"/>
  <c r="S23" i="10"/>
  <c r="U23" i="10"/>
  <c r="F64" i="10"/>
  <c r="F68" i="10" s="1"/>
  <c r="G68" i="10" s="1"/>
  <c r="T23" i="10"/>
  <c r="V23" i="10"/>
  <c r="W23" i="10"/>
  <c r="X23" i="10"/>
  <c r="S35" i="10"/>
  <c r="T35" i="10"/>
  <c r="V35" i="10"/>
  <c r="J25" i="10"/>
  <c r="L18" i="10" s="1"/>
  <c r="L45" i="10" s="1"/>
  <c r="M49" i="10" s="1"/>
  <c r="X14" i="10"/>
  <c r="X15" i="10" s="1"/>
  <c r="L42" i="10"/>
  <c r="T19" i="10"/>
  <c r="T32" i="10"/>
  <c r="U32" i="10"/>
  <c r="V19" i="10"/>
  <c r="T22" i="10"/>
  <c r="R24" i="10"/>
  <c r="V32" i="10"/>
  <c r="T34" i="10"/>
  <c r="E68" i="10"/>
  <c r="W19" i="10"/>
  <c r="U22" i="10"/>
  <c r="S24" i="10"/>
  <c r="W32" i="10"/>
  <c r="U34" i="10"/>
  <c r="R32" i="10"/>
  <c r="R19" i="10"/>
  <c r="S19" i="10"/>
  <c r="S32" i="10"/>
  <c r="R22" i="10"/>
  <c r="U19" i="10"/>
  <c r="S22" i="10"/>
  <c r="V22" i="10"/>
  <c r="T24" i="10"/>
  <c r="V34" i="10"/>
  <c r="T36" i="10"/>
  <c r="W22" i="10"/>
  <c r="U24" i="10"/>
  <c r="W34" i="10"/>
  <c r="U36" i="10"/>
  <c r="R21" i="10"/>
  <c r="V24" i="10"/>
  <c r="R33" i="10"/>
  <c r="V36" i="10"/>
  <c r="S21" i="10"/>
  <c r="W24" i="10"/>
  <c r="S33" i="10"/>
  <c r="W36" i="10"/>
  <c r="F64" i="7"/>
  <c r="F68" i="7" s="1"/>
  <c r="G68" i="7" s="1"/>
  <c r="R35" i="7"/>
  <c r="H50" i="7"/>
  <c r="L48" i="7" s="1"/>
  <c r="U36" i="7"/>
  <c r="S35" i="7"/>
  <c r="T22" i="7"/>
  <c r="X22" i="7"/>
  <c r="X36" i="7"/>
  <c r="W36" i="7"/>
  <c r="R22" i="7"/>
  <c r="V23" i="7"/>
  <c r="T34" i="7"/>
  <c r="R23" i="7"/>
  <c r="W22" i="7"/>
  <c r="U34" i="7"/>
  <c r="U23" i="7"/>
  <c r="V24" i="7"/>
  <c r="R24" i="7"/>
  <c r="W24" i="7"/>
  <c r="S22" i="7"/>
  <c r="W23" i="7"/>
  <c r="U35" i="7"/>
  <c r="V34" i="7"/>
  <c r="S23" i="7"/>
  <c r="X24" i="7"/>
  <c r="V35" i="7"/>
  <c r="S24" i="7"/>
  <c r="W34" i="7"/>
  <c r="X23" i="7"/>
  <c r="T24" i="7"/>
  <c r="U22" i="7"/>
  <c r="W35" i="7"/>
  <c r="X35" i="7"/>
  <c r="R34" i="7"/>
  <c r="X21" i="7"/>
  <c r="W21" i="7"/>
  <c r="E69" i="7"/>
  <c r="U33" i="7"/>
  <c r="U32" i="7"/>
  <c r="V32" i="7"/>
  <c r="W32" i="7"/>
  <c r="X32" i="7"/>
  <c r="S32" i="7"/>
  <c r="T33" i="7"/>
  <c r="S33" i="7"/>
  <c r="R32" i="7"/>
  <c r="V33" i="7"/>
  <c r="W33" i="7"/>
  <c r="R33" i="7"/>
  <c r="R19" i="7"/>
  <c r="S19" i="7"/>
  <c r="T19" i="7"/>
  <c r="U19" i="7"/>
  <c r="T21" i="7"/>
  <c r="V19" i="7"/>
  <c r="U21" i="7"/>
  <c r="W19" i="7"/>
  <c r="V21" i="7"/>
  <c r="I50" i="7"/>
  <c r="E68" i="7"/>
  <c r="W14" i="7" l="1"/>
  <c r="R14" i="7"/>
  <c r="R15" i="7" s="1"/>
  <c r="V14" i="7"/>
  <c r="T14" i="7"/>
  <c r="T15" i="7" s="1"/>
  <c r="U14" i="7"/>
  <c r="U15" i="7" s="1"/>
  <c r="X14" i="7"/>
  <c r="X15" i="7" s="1"/>
  <c r="S14" i="7"/>
  <c r="S15" i="7" s="1"/>
  <c r="W14" i="10"/>
  <c r="W15" i="10" s="1"/>
  <c r="U14" i="10"/>
  <c r="U15" i="10" s="1"/>
  <c r="V14" i="10"/>
  <c r="V15" i="10" s="1"/>
  <c r="S14" i="10"/>
  <c r="S15" i="10" s="1"/>
  <c r="R14" i="10"/>
  <c r="R15" i="10" s="1"/>
  <c r="H69" i="10"/>
  <c r="H68" i="10"/>
  <c r="T14" i="10"/>
  <c r="T15" i="10" s="1"/>
  <c r="V15" i="7"/>
  <c r="W15" i="7"/>
  <c r="H69" i="7"/>
  <c r="H68" i="7"/>
</calcChain>
</file>

<file path=xl/sharedStrings.xml><?xml version="1.0" encoding="utf-8"?>
<sst xmlns="http://schemas.openxmlformats.org/spreadsheetml/2006/main" count="440" uniqueCount="128">
  <si>
    <t>本シートの目的</t>
    <rPh sb="0" eb="1">
      <t>ホン</t>
    </rPh>
    <rPh sb="5" eb="7">
      <t>モクテキ</t>
    </rPh>
    <phoneticPr fontId="2"/>
  </si>
  <si>
    <t>○○市</t>
    <rPh sb="2" eb="3">
      <t>シ</t>
    </rPh>
    <phoneticPr fontId="2"/>
  </si>
  <si>
    <t>算出条件</t>
    <rPh sb="0" eb="4">
      <t>サンシュツジョウケン</t>
    </rPh>
    <phoneticPr fontId="2"/>
  </si>
  <si>
    <t>発災後</t>
    <rPh sb="0" eb="3">
      <t>ハッサイゴ</t>
    </rPh>
    <phoneticPr fontId="2"/>
  </si>
  <si>
    <t>日間</t>
    <rPh sb="0" eb="1">
      <t>ニチ</t>
    </rPh>
    <rPh sb="1" eb="2">
      <t>アイダ</t>
    </rPh>
    <phoneticPr fontId="2"/>
  </si>
  <si>
    <t>人</t>
    <rPh sb="0" eb="1">
      <t>ニン</t>
    </rPh>
    <phoneticPr fontId="2"/>
  </si>
  <si>
    <t>種類</t>
    <rPh sb="0" eb="2">
      <t>シュルイ</t>
    </rPh>
    <phoneticPr fontId="2"/>
  </si>
  <si>
    <t>使用開始日想定</t>
    <rPh sb="0" eb="4">
      <t>シヨウカイシ</t>
    </rPh>
    <rPh sb="4" eb="7">
      <t>ビソウテイ</t>
    </rPh>
    <phoneticPr fontId="2"/>
  </si>
  <si>
    <t>汲み取り頻度</t>
    <rPh sb="0" eb="1">
      <t>ク</t>
    </rPh>
    <rPh sb="2" eb="3">
      <t>ト</t>
    </rPh>
    <rPh sb="4" eb="6">
      <t>ヒンド</t>
    </rPh>
    <phoneticPr fontId="2"/>
  </si>
  <si>
    <t>回数換算</t>
    <rPh sb="0" eb="2">
      <t>カイスウ</t>
    </rPh>
    <rPh sb="2" eb="4">
      <t>カンサン</t>
    </rPh>
    <phoneticPr fontId="2"/>
  </si>
  <si>
    <t>簡易トイレ（本体）</t>
    <rPh sb="0" eb="2">
      <t>カンイ</t>
    </rPh>
    <rPh sb="6" eb="8">
      <t>ホンタイ</t>
    </rPh>
    <phoneticPr fontId="2"/>
  </si>
  <si>
    <t>-</t>
    <phoneticPr fontId="2"/>
  </si>
  <si>
    <t>簡易トイレ（付属物）</t>
    <rPh sb="0" eb="2">
      <t>カンイ</t>
    </rPh>
    <rPh sb="6" eb="9">
      <t>フゾクブツ</t>
    </rPh>
    <phoneticPr fontId="2"/>
  </si>
  <si>
    <r>
      <t>仮設トイレ</t>
    </r>
    <r>
      <rPr>
        <b/>
        <sz val="11"/>
        <color theme="1"/>
        <rFont val="Meiryo UI"/>
        <family val="3"/>
        <charset val="128"/>
      </rPr>
      <t>（快適トイレ）</t>
    </r>
    <rPh sb="0" eb="2">
      <t>カセツ</t>
    </rPh>
    <rPh sb="6" eb="8">
      <t>カイテキ</t>
    </rPh>
    <phoneticPr fontId="2"/>
  </si>
  <si>
    <r>
      <t>マンホールトイレ</t>
    </r>
    <r>
      <rPr>
        <b/>
        <sz val="11"/>
        <color theme="1"/>
        <rFont val="Meiryo UI"/>
        <family val="3"/>
        <charset val="128"/>
      </rPr>
      <t>（貯留）</t>
    </r>
    <rPh sb="9" eb="11">
      <t>チョリュウ</t>
    </rPh>
    <phoneticPr fontId="2"/>
  </si>
  <si>
    <t>トイレカー等</t>
    <rPh sb="5" eb="6">
      <t>トウ</t>
    </rPh>
    <phoneticPr fontId="2"/>
  </si>
  <si>
    <t>携帯トイレ</t>
    <rPh sb="0" eb="2">
      <t>ケイタイ</t>
    </rPh>
    <phoneticPr fontId="2"/>
  </si>
  <si>
    <t>合計</t>
    <rPh sb="0" eb="2">
      <t>ゴウケイ</t>
    </rPh>
    <phoneticPr fontId="2"/>
  </si>
  <si>
    <t>確保方法（種類）</t>
    <rPh sb="0" eb="4">
      <t>カクホホウホウ</t>
    </rPh>
    <rPh sb="5" eb="7">
      <t>シュルイ</t>
    </rPh>
    <phoneticPr fontId="2"/>
  </si>
  <si>
    <t>所在地都道府県</t>
    <rPh sb="0" eb="3">
      <t>ショザイチ</t>
    </rPh>
    <rPh sb="3" eb="7">
      <t>トドウフケン</t>
    </rPh>
    <phoneticPr fontId="2"/>
  </si>
  <si>
    <t>他自治体</t>
    <rPh sb="0" eb="1">
      <t>ホカ</t>
    </rPh>
    <rPh sb="1" eb="4">
      <t>ジチタイ</t>
    </rPh>
    <phoneticPr fontId="2"/>
  </si>
  <si>
    <t>民間</t>
    <rPh sb="0" eb="2">
      <t>ミンカン</t>
    </rPh>
    <phoneticPr fontId="2"/>
  </si>
  <si>
    <t>仮設トイレ</t>
    <rPh sb="0" eb="2">
      <t>カセツ</t>
    </rPh>
    <phoneticPr fontId="2"/>
  </si>
  <si>
    <t>マンホールトイレ</t>
    <phoneticPr fontId="2"/>
  </si>
  <si>
    <t>確保方法（詳細）</t>
    <rPh sb="0" eb="4">
      <t>カクホホウホウ</t>
    </rPh>
    <rPh sb="5" eb="7">
      <t>ショウサイ</t>
    </rPh>
    <phoneticPr fontId="2"/>
  </si>
  <si>
    <t>確保方法</t>
    <rPh sb="0" eb="4">
      <t>カクホホウホウ</t>
    </rPh>
    <phoneticPr fontId="2"/>
  </si>
  <si>
    <t>対応者・対応部局</t>
    <rPh sb="0" eb="3">
      <t>タイオウシャ</t>
    </rPh>
    <rPh sb="4" eb="8">
      <t>タイオウブキョク</t>
    </rPh>
    <phoneticPr fontId="2"/>
  </si>
  <si>
    <t>相手方</t>
    <rPh sb="0" eb="3">
      <t>アイテガタ</t>
    </rPh>
    <phoneticPr fontId="2"/>
  </si>
  <si>
    <t>確保時期</t>
    <rPh sb="0" eb="2">
      <t>カクホ</t>
    </rPh>
    <rPh sb="2" eb="4">
      <t>ジキ</t>
    </rPh>
    <phoneticPr fontId="2"/>
  </si>
  <si>
    <t>保管場所</t>
    <rPh sb="0" eb="4">
      <t>ホカンバショ</t>
    </rPh>
    <phoneticPr fontId="2"/>
  </si>
  <si>
    <t>名（法人名等）</t>
    <rPh sb="0" eb="1">
      <t>ナ</t>
    </rPh>
    <rPh sb="2" eb="5">
      <t>ホウジンメイ</t>
    </rPh>
    <rPh sb="5" eb="6">
      <t>ナド</t>
    </rPh>
    <phoneticPr fontId="2"/>
  </si>
  <si>
    <t>連絡先</t>
    <rPh sb="0" eb="3">
      <t>レンラクサキ</t>
    </rPh>
    <phoneticPr fontId="2"/>
  </si>
  <si>
    <t>所在地</t>
    <rPh sb="0" eb="3">
      <t>ショザイチ</t>
    </rPh>
    <phoneticPr fontId="2"/>
  </si>
  <si>
    <t>危機管理課</t>
    <rPh sb="0" eb="5">
      <t>キキカンリカ</t>
    </rPh>
    <phoneticPr fontId="1"/>
  </si>
  <si>
    <t>株式会社△△</t>
    <rPh sb="0" eb="4">
      <t>カブシキガイシャ</t>
    </rPh>
    <phoneticPr fontId="1"/>
  </si>
  <si>
    <t>000-000-0000</t>
  </si>
  <si>
    <t>災害発生後</t>
    <rPh sb="0" eb="2">
      <t>サイガイ</t>
    </rPh>
    <rPh sb="2" eb="5">
      <t>ハッセイゴ</t>
    </rPh>
    <phoneticPr fontId="1"/>
  </si>
  <si>
    <t>－</t>
  </si>
  <si>
    <t>○○社が自動車にて運搬</t>
    <rPh sb="2" eb="3">
      <t>シャ</t>
    </rPh>
    <rPh sb="4" eb="7">
      <t>ジドウシャ</t>
    </rPh>
    <rPh sb="9" eb="11">
      <t>ウンパン</t>
    </rPh>
    <phoneticPr fontId="1"/>
  </si>
  <si>
    <t>レンタル</t>
    <phoneticPr fontId="2"/>
  </si>
  <si>
    <t>令和７年11月</t>
    <rPh sb="0" eb="2">
      <t>レイワ</t>
    </rPh>
    <rPh sb="3" eb="4">
      <t>ネン</t>
    </rPh>
    <rPh sb="6" eb="7">
      <t>ガツ</t>
    </rPh>
    <phoneticPr fontId="1"/>
  </si>
  <si>
    <t>協定（他自治体）</t>
    <rPh sb="0" eb="2">
      <t>キョウテイ</t>
    </rPh>
    <rPh sb="3" eb="4">
      <t>ホカ</t>
    </rPh>
    <rPh sb="4" eb="7">
      <t>ジチタイ</t>
    </rPh>
    <phoneticPr fontId="2"/>
  </si>
  <si>
    <t>購入</t>
    <rPh sb="0" eb="2">
      <t>コウニュウ</t>
    </rPh>
    <phoneticPr fontId="2"/>
  </si>
  <si>
    <t>○○課</t>
    <rPh sb="2" eb="3">
      <t>カ</t>
    </rPh>
    <phoneticPr fontId="1"/>
  </si>
  <si>
    <t>○○県☆☆市</t>
    <rPh sb="2" eb="3">
      <t>ケン</t>
    </rPh>
    <rPh sb="5" eb="6">
      <t>シ</t>
    </rPh>
    <phoneticPr fontId="1"/>
  </si>
  <si>
    <t>令和７年8月</t>
    <rPh sb="0" eb="2">
      <t>レイワ</t>
    </rPh>
    <rPh sb="3" eb="4">
      <t>ネン</t>
    </rPh>
    <rPh sb="5" eb="6">
      <t>ガツ</t>
    </rPh>
    <phoneticPr fontId="1"/>
  </si>
  <si>
    <t>備蓄倉庫</t>
    <rPh sb="0" eb="4">
      <t>ビチクソウコ</t>
    </rPh>
    <phoneticPr fontId="2"/>
  </si>
  <si>
    <t>ー</t>
    <phoneticPr fontId="2"/>
  </si>
  <si>
    <t>【参考2】スフィア基準に沿った基数確保状況</t>
    <rPh sb="1" eb="3">
      <t>サンコウ</t>
    </rPh>
    <rPh sb="9" eb="11">
      <t>キジュン</t>
    </rPh>
    <rPh sb="12" eb="13">
      <t>ソ</t>
    </rPh>
    <rPh sb="15" eb="21">
      <t>キスウカクホジョウキョウ</t>
    </rPh>
    <phoneticPr fontId="2"/>
  </si>
  <si>
    <t>合計必要数</t>
    <rPh sb="0" eb="5">
      <t>ゴウケイヒツヨウスウ</t>
    </rPh>
    <phoneticPr fontId="2"/>
  </si>
  <si>
    <t>判定（現状）</t>
    <rPh sb="0" eb="2">
      <t>ハンテイ</t>
    </rPh>
    <rPh sb="3" eb="5">
      <t>ゲンジョウ</t>
    </rPh>
    <phoneticPr fontId="2"/>
  </si>
  <si>
    <t>確保予定数</t>
    <rPh sb="0" eb="5">
      <t>カクホヨテイスウ</t>
    </rPh>
    <phoneticPr fontId="2"/>
  </si>
  <si>
    <t>判定（将来）</t>
    <rPh sb="0" eb="2">
      <t>ハンテイ</t>
    </rPh>
    <rPh sb="3" eb="5">
      <t>ショウライ</t>
    </rPh>
    <phoneticPr fontId="2"/>
  </si>
  <si>
    <t>発災初期（50人に1基）</t>
    <rPh sb="3" eb="4">
      <t>ニン</t>
    </rPh>
    <rPh sb="7" eb="8">
      <t>ニン</t>
    </rPh>
    <rPh sb="10" eb="11">
      <t>キ</t>
    </rPh>
    <phoneticPr fontId="2"/>
  </si>
  <si>
    <t>発災中期（20人に1基）</t>
    <rPh sb="0" eb="4">
      <t>ハッサイチュウキ</t>
    </rPh>
    <rPh sb="7" eb="8">
      <t>ニン</t>
    </rPh>
    <rPh sb="10" eb="11">
      <t>キ</t>
    </rPh>
    <phoneticPr fontId="2"/>
  </si>
  <si>
    <t>備蓄等数</t>
    <rPh sb="0" eb="2">
      <t>ビチク</t>
    </rPh>
    <rPh sb="2" eb="3">
      <t>トウ</t>
    </rPh>
    <rPh sb="3" eb="4">
      <t>スウ</t>
    </rPh>
    <phoneticPr fontId="2"/>
  </si>
  <si>
    <t>協定（所在地都道府県）</t>
    <rPh sb="0" eb="2">
      <t>キョウテイ</t>
    </rPh>
    <rPh sb="3" eb="10">
      <t>ショザイチトドウフケン</t>
    </rPh>
    <phoneticPr fontId="2"/>
  </si>
  <si>
    <t>協定（他自治体）</t>
    <rPh sb="0" eb="2">
      <t>キョウテイ</t>
    </rPh>
    <rPh sb="3" eb="7">
      <t>ホカジチタイ</t>
    </rPh>
    <phoneticPr fontId="2"/>
  </si>
  <si>
    <t>【参考１】確保回数の算定式</t>
    <rPh sb="1" eb="3">
      <t>サンコウ</t>
    </rPh>
    <rPh sb="5" eb="7">
      <t>カクホ</t>
    </rPh>
    <rPh sb="7" eb="9">
      <t>カイスウ</t>
    </rPh>
    <rPh sb="10" eb="13">
      <t>サンテイシキ</t>
    </rPh>
    <phoneticPr fontId="2"/>
  </si>
  <si>
    <t>簡易トイレ（付属物)</t>
    <rPh sb="0" eb="2">
      <t>カンイ</t>
    </rPh>
    <rPh sb="6" eb="9">
      <t>フゾクブツ</t>
    </rPh>
    <phoneticPr fontId="2"/>
  </si>
  <si>
    <t>協定（民間）</t>
    <rPh sb="0" eb="2">
      <t>キョウテイ</t>
    </rPh>
    <rPh sb="3" eb="5">
      <t>ミンカン</t>
    </rPh>
    <phoneticPr fontId="2"/>
  </si>
  <si>
    <t>回分</t>
    <rPh sb="0" eb="2">
      <t>カイブン</t>
    </rPh>
    <phoneticPr fontId="2"/>
  </si>
  <si>
    <t>□□県</t>
    <rPh sb="2" eb="3">
      <t>ケン</t>
    </rPh>
    <phoneticPr fontId="2"/>
  </si>
  <si>
    <t>□□県△△市</t>
    <rPh sb="2" eb="3">
      <t>ケン</t>
    </rPh>
    <rPh sb="5" eb="6">
      <t>シ</t>
    </rPh>
    <phoneticPr fontId="1"/>
  </si>
  <si>
    <t>□□県○○市</t>
    <rPh sb="0" eb="3">
      <t>シカクシカクケン</t>
    </rPh>
    <rPh sb="5" eb="6">
      <t>シ</t>
    </rPh>
    <phoneticPr fontId="2"/>
  </si>
  <si>
    <t>□□県○○市</t>
    <rPh sb="2" eb="3">
      <t>ケン</t>
    </rPh>
    <rPh sb="5" eb="6">
      <t>シ</t>
    </rPh>
    <phoneticPr fontId="1"/>
  </si>
  <si>
    <t>災害発生後</t>
    <rPh sb="0" eb="5">
      <t>サイガイハッセイゴ</t>
    </rPh>
    <phoneticPr fontId="2"/>
  </si>
  <si>
    <t>□□県がトラックを手配</t>
    <rPh sb="2" eb="3">
      <t>ケン</t>
    </rPh>
    <rPh sb="9" eb="11">
      <t>テハイ</t>
    </rPh>
    <phoneticPr fontId="2"/>
  </si>
  <si>
    <t>△△市がトラックを手配</t>
    <rPh sb="0" eb="3">
      <t>サンカクサンカクシ</t>
    </rPh>
    <rPh sb="9" eb="11">
      <t>テハイ</t>
    </rPh>
    <phoneticPr fontId="2"/>
  </si>
  <si>
    <t>避難所への輸送方法</t>
    <rPh sb="0" eb="3">
      <t>ヒナンジョ</t>
    </rPh>
    <rPh sb="5" eb="9">
      <t>ユソウホウホウ</t>
    </rPh>
    <phoneticPr fontId="2"/>
  </si>
  <si>
    <t>確保回数判定</t>
    <rPh sb="0" eb="2">
      <t>カクホ</t>
    </rPh>
    <rPh sb="2" eb="4">
      <t>カイスウ</t>
    </rPh>
    <rPh sb="4" eb="6">
      <t>ハンテイ</t>
    </rPh>
    <phoneticPr fontId="2"/>
  </si>
  <si>
    <t>条件</t>
    <rPh sb="0" eb="2">
      <t>ジョウケン</t>
    </rPh>
    <phoneticPr fontId="2"/>
  </si>
  <si>
    <t>本シートの記入方法（概要）</t>
    <rPh sb="0" eb="1">
      <t>ホン</t>
    </rPh>
    <rPh sb="5" eb="9">
      <t>キニュウホウホウ</t>
    </rPh>
    <rPh sb="10" eb="12">
      <t>ガイヨウ</t>
    </rPh>
    <phoneticPr fontId="2"/>
  </si>
  <si>
    <t>便槽・キャパシティ(L)</t>
    <rPh sb="0" eb="2">
      <t>ベンソウ</t>
    </rPh>
    <phoneticPr fontId="2"/>
  </si>
  <si>
    <t>日目から</t>
    <rPh sb="0" eb="2">
      <t>ニチメ</t>
    </rPh>
    <phoneticPr fontId="2"/>
  </si>
  <si>
    <t>日に１回</t>
    <rPh sb="0" eb="1">
      <t>ニチ</t>
    </rPh>
    <rPh sb="3" eb="4">
      <t>カイ</t>
    </rPh>
    <phoneticPr fontId="2"/>
  </si>
  <si>
    <t>その他（回）</t>
    <rPh sb="2" eb="3">
      <t>ホカ</t>
    </rPh>
    <rPh sb="4" eb="5">
      <t>カイ</t>
    </rPh>
    <phoneticPr fontId="2"/>
  </si>
  <si>
    <t>購入（回）</t>
    <rPh sb="0" eb="2">
      <t>コウニュウ</t>
    </rPh>
    <rPh sb="3" eb="4">
      <t>カイ</t>
    </rPh>
    <phoneticPr fontId="2"/>
  </si>
  <si>
    <t>(参考)
基数換算（基）</t>
    <rPh sb="1" eb="3">
      <t>サンコウ</t>
    </rPh>
    <rPh sb="5" eb="7">
      <t>キスウ</t>
    </rPh>
    <rPh sb="7" eb="9">
      <t>カンサン</t>
    </rPh>
    <rPh sb="10" eb="11">
      <t>モトイ</t>
    </rPh>
    <phoneticPr fontId="2"/>
  </si>
  <si>
    <t>合計（回）</t>
    <rPh sb="0" eb="2">
      <t>ゴウケイ</t>
    </rPh>
    <rPh sb="3" eb="4">
      <t>カイ</t>
    </rPh>
    <phoneticPr fontId="2"/>
  </si>
  <si>
    <t>基</t>
    <rPh sb="0" eb="1">
      <t>モト</t>
    </rPh>
    <phoneticPr fontId="2"/>
  </si>
  <si>
    <t>回分</t>
    <rPh sb="0" eb="1">
      <t>カイ</t>
    </rPh>
    <rPh sb="1" eb="2">
      <t>ブン</t>
    </rPh>
    <phoneticPr fontId="2"/>
  </si>
  <si>
    <t>協定等による確保数</t>
    <rPh sb="0" eb="2">
      <t>キョウテイ</t>
    </rPh>
    <rPh sb="2" eb="3">
      <t>トウ</t>
    </rPh>
    <rPh sb="6" eb="8">
      <t>カクホ</t>
    </rPh>
    <rPh sb="8" eb="9">
      <t>スウ</t>
    </rPh>
    <phoneticPr fontId="2"/>
  </si>
  <si>
    <t>導入必要数に基づく確保方法</t>
    <rPh sb="0" eb="5">
      <t>ドウニュウヒツヨウスウ</t>
    </rPh>
    <rPh sb="6" eb="7">
      <t>モト</t>
    </rPh>
    <rPh sb="9" eb="11">
      <t>カクホ</t>
    </rPh>
    <rPh sb="11" eb="13">
      <t>ホウホウ</t>
    </rPh>
    <phoneticPr fontId="2"/>
  </si>
  <si>
    <t>マンホールトイレ（貯留）</t>
    <rPh sb="9" eb="11">
      <t>チョリュウ</t>
    </rPh>
    <phoneticPr fontId="2"/>
  </si>
  <si>
    <t>回数(a)</t>
    <rPh sb="0" eb="2">
      <t>カイスウ</t>
    </rPh>
    <phoneticPr fontId="2"/>
  </si>
  <si>
    <t>基数(b)</t>
    <rPh sb="0" eb="2">
      <t>キスウ</t>
    </rPh>
    <phoneticPr fontId="2"/>
  </si>
  <si>
    <t>基数ベース
(a)+(b)</t>
    <rPh sb="0" eb="2">
      <t>キスウ</t>
    </rPh>
    <phoneticPr fontId="2"/>
  </si>
  <si>
    <t>基礎情報</t>
    <rPh sb="0" eb="4">
      <t>キソジョウホウ</t>
    </rPh>
    <phoneticPr fontId="2"/>
  </si>
  <si>
    <r>
      <t xml:space="preserve">合計必要数
</t>
    </r>
    <r>
      <rPr>
        <b/>
        <sz val="14"/>
        <color theme="0"/>
        <rFont val="Meiryo UI"/>
        <family val="3"/>
        <charset val="128"/>
      </rPr>
      <t>（避難所全体で必要となるトイレの数）</t>
    </r>
    <rPh sb="0" eb="5">
      <t>ゴウケイヒツヨウスウ</t>
    </rPh>
    <phoneticPr fontId="2"/>
  </si>
  <si>
    <r>
      <t xml:space="preserve">導入必要数
</t>
    </r>
    <r>
      <rPr>
        <b/>
        <sz val="14"/>
        <color theme="0"/>
        <rFont val="Meiryo UI"/>
        <family val="3"/>
        <charset val="128"/>
      </rPr>
      <t>（今後必要となるトイレ数）</t>
    </r>
    <rPh sb="0" eb="5">
      <t>ドウニュウヒツヨウスウ</t>
    </rPh>
    <rPh sb="7" eb="9">
      <t>コンゴ</t>
    </rPh>
    <phoneticPr fontId="2"/>
  </si>
  <si>
    <r>
      <t xml:space="preserve">備蓄数・協定済数
</t>
    </r>
    <r>
      <rPr>
        <b/>
        <sz val="14"/>
        <color theme="0"/>
        <rFont val="Meiryo UI"/>
        <family val="3"/>
        <charset val="128"/>
      </rPr>
      <t>（既に備蓄、若しくは協定を締結し確保されている数量）</t>
    </r>
    <rPh sb="0" eb="3">
      <t>ビチクスウ</t>
    </rPh>
    <rPh sb="4" eb="6">
      <t>キョウテイ</t>
    </rPh>
    <rPh sb="6" eb="7">
      <t>スミ</t>
    </rPh>
    <rPh sb="7" eb="8">
      <t>スウ</t>
    </rPh>
    <phoneticPr fontId="2"/>
  </si>
  <si>
    <r>
      <t xml:space="preserve">合計必要数（再掲）
</t>
    </r>
    <r>
      <rPr>
        <b/>
        <sz val="14"/>
        <color theme="0"/>
        <rFont val="Meiryo UI"/>
        <family val="3"/>
        <charset val="128"/>
      </rPr>
      <t>（避難所全体で必要となるトイレの数）</t>
    </r>
    <rPh sb="0" eb="5">
      <t>ゴウケイヒツヨウスウ</t>
    </rPh>
    <rPh sb="6" eb="8">
      <t>サイケイ</t>
    </rPh>
    <phoneticPr fontId="2"/>
  </si>
  <si>
    <t>導入必要数（再掲）</t>
    <rPh sb="0" eb="5">
      <t>ドウニュウヒツヨウスウ</t>
    </rPh>
    <rPh sb="6" eb="8">
      <t>サイケイ</t>
    </rPh>
    <phoneticPr fontId="2"/>
  </si>
  <si>
    <t>備蓄等数(a)</t>
    <rPh sb="0" eb="2">
      <t>ビチク</t>
    </rPh>
    <rPh sb="2" eb="3">
      <t>トウ</t>
    </rPh>
    <rPh sb="3" eb="4">
      <t>カズ</t>
    </rPh>
    <phoneticPr fontId="2"/>
  </si>
  <si>
    <t>確保予定数(b)</t>
    <rPh sb="0" eb="5">
      <t>カクホヨテイスウ</t>
    </rPh>
    <phoneticPr fontId="2"/>
  </si>
  <si>
    <t>合計予定数(a+b)</t>
    <rPh sb="0" eb="2">
      <t>ゴウケイ</t>
    </rPh>
    <rPh sb="2" eb="5">
      <t>ヨテイスウ</t>
    </rPh>
    <phoneticPr fontId="2"/>
  </si>
  <si>
    <t>必要数</t>
    <rPh sb="0" eb="3">
      <t>ヒツヨウスウ</t>
    </rPh>
    <phoneticPr fontId="2"/>
  </si>
  <si>
    <t>確保数</t>
    <rPh sb="0" eb="3">
      <t>カクホスウ</t>
    </rPh>
    <phoneticPr fontId="2"/>
  </si>
  <si>
    <t>判定</t>
    <rPh sb="0" eb="2">
      <t>ハンテイ</t>
    </rPh>
    <phoneticPr fontId="2"/>
  </si>
  <si>
    <t>１日目</t>
    <rPh sb="1" eb="3">
      <t>ニチメ</t>
    </rPh>
    <phoneticPr fontId="2"/>
  </si>
  <si>
    <t>２日目</t>
    <rPh sb="1" eb="3">
      <t>ニチメ</t>
    </rPh>
    <phoneticPr fontId="2"/>
  </si>
  <si>
    <t>３日目</t>
    <rPh sb="1" eb="3">
      <t>ニチメ</t>
    </rPh>
    <phoneticPr fontId="2"/>
  </si>
  <si>
    <t>４日目</t>
    <rPh sb="1" eb="3">
      <t>ニチメ</t>
    </rPh>
    <phoneticPr fontId="2"/>
  </si>
  <si>
    <t>５日目</t>
    <rPh sb="1" eb="3">
      <t>ニチメ</t>
    </rPh>
    <phoneticPr fontId="2"/>
  </si>
  <si>
    <t>６日目</t>
    <rPh sb="1" eb="3">
      <t>ニチメ</t>
    </rPh>
    <phoneticPr fontId="2"/>
  </si>
  <si>
    <t>７日目</t>
    <rPh sb="1" eb="3">
      <t>ニチメ</t>
    </rPh>
    <phoneticPr fontId="2"/>
  </si>
  <si>
    <t>３日目</t>
    <rPh sb="1" eb="2">
      <t>ニチ</t>
    </rPh>
    <rPh sb="2" eb="3">
      <t>メ</t>
    </rPh>
    <phoneticPr fontId="2"/>
  </si>
  <si>
    <t>仮設トイレ（快適トイレ）</t>
    <rPh sb="0" eb="2">
      <t>カセツ</t>
    </rPh>
    <rPh sb="6" eb="8">
      <t>カイテキ</t>
    </rPh>
    <phoneticPr fontId="2"/>
  </si>
  <si>
    <t>【確保数】</t>
    <rPh sb="1" eb="4">
      <t>カクホスウ</t>
    </rPh>
    <phoneticPr fontId="2"/>
  </si>
  <si>
    <t>【備蓄数・協定済数】</t>
    <rPh sb="1" eb="4">
      <t>ビチクスウ</t>
    </rPh>
    <rPh sb="5" eb="7">
      <t>キョウテイ</t>
    </rPh>
    <rPh sb="7" eb="8">
      <t>スミ</t>
    </rPh>
    <rPh sb="8" eb="9">
      <t>スウ</t>
    </rPh>
    <phoneticPr fontId="2"/>
  </si>
  <si>
    <t>R●.●.●作成</t>
    <rPh sb="6" eb="8">
      <t>サクセイ</t>
    </rPh>
    <phoneticPr fontId="2"/>
  </si>
  <si>
    <t>参考【各日数ごとの確保数判定】</t>
    <rPh sb="0" eb="2">
      <t>サンコウ</t>
    </rPh>
    <rPh sb="3" eb="6">
      <t>カクニッスウ</t>
    </rPh>
    <rPh sb="9" eb="12">
      <t>カクホスウ</t>
    </rPh>
    <rPh sb="12" eb="14">
      <t>ハンテイ</t>
    </rPh>
    <phoneticPr fontId="2"/>
  </si>
  <si>
    <t>個数（回）</t>
    <rPh sb="0" eb="2">
      <t>コスウ</t>
    </rPh>
    <rPh sb="3" eb="4">
      <t>カイ</t>
    </rPh>
    <phoneticPr fontId="2"/>
  </si>
  <si>
    <t>※本判定は【参考１】を使用して算出しておりあくまで参考であるため、正確な値は各自治体において計算すること。特に【参考１】の判定式を複数回利用して【確保方法（種類）】を記入した場合、消された【参考１】は本判定に反映されない。</t>
    <rPh sb="1" eb="4">
      <t>ホンハンテイ</t>
    </rPh>
    <rPh sb="6" eb="8">
      <t>サンコウ</t>
    </rPh>
    <rPh sb="11" eb="13">
      <t>シヨウ</t>
    </rPh>
    <rPh sb="15" eb="17">
      <t>サンシュツ</t>
    </rPh>
    <rPh sb="25" eb="27">
      <t>サンコウ</t>
    </rPh>
    <rPh sb="33" eb="35">
      <t>セイカク</t>
    </rPh>
    <rPh sb="36" eb="37">
      <t>アタイ</t>
    </rPh>
    <rPh sb="38" eb="42">
      <t>カクジチタイ</t>
    </rPh>
    <rPh sb="46" eb="48">
      <t>ケイサン</t>
    </rPh>
    <rPh sb="53" eb="54">
      <t>トク</t>
    </rPh>
    <rPh sb="56" eb="58">
      <t>サンコウ</t>
    </rPh>
    <rPh sb="61" eb="64">
      <t>ハンテイシキ</t>
    </rPh>
    <rPh sb="65" eb="68">
      <t>フクスウカイ</t>
    </rPh>
    <rPh sb="68" eb="70">
      <t>リヨウ</t>
    </rPh>
    <rPh sb="73" eb="75">
      <t>カクホ</t>
    </rPh>
    <rPh sb="75" eb="77">
      <t>ホウホウ</t>
    </rPh>
    <rPh sb="78" eb="80">
      <t>シュルイ</t>
    </rPh>
    <rPh sb="83" eb="85">
      <t>キニュウ</t>
    </rPh>
    <rPh sb="87" eb="89">
      <t>バアイ</t>
    </rPh>
    <rPh sb="90" eb="91">
      <t>ケ</t>
    </rPh>
    <rPh sb="95" eb="97">
      <t>サンコウ</t>
    </rPh>
    <rPh sb="100" eb="103">
      <t>ホンハンテイ</t>
    </rPh>
    <rPh sb="104" eb="106">
      <t>ハンエイ</t>
    </rPh>
    <phoneticPr fontId="2"/>
  </si>
  <si>
    <r>
      <t xml:space="preserve">想定避難者数
</t>
    </r>
    <r>
      <rPr>
        <b/>
        <sz val="11"/>
        <rFont val="Meiryo UI"/>
        <family val="3"/>
        <charset val="128"/>
      </rPr>
      <t>（車中泊避難者等を含む）</t>
    </r>
    <rPh sb="0" eb="6">
      <t>ソウテイヒナンシャスウ</t>
    </rPh>
    <rPh sb="8" eb="11">
      <t>シャチュウハク</t>
    </rPh>
    <rPh sb="11" eb="14">
      <t>ヒナンシャ</t>
    </rPh>
    <rPh sb="14" eb="15">
      <t>トウ</t>
    </rPh>
    <rPh sb="16" eb="17">
      <t>フク</t>
    </rPh>
    <phoneticPr fontId="2"/>
  </si>
  <si>
    <t>協定・レンタル（回）</t>
    <rPh sb="0" eb="2">
      <t>キョウテイ</t>
    </rPh>
    <rPh sb="8" eb="9">
      <t>カイ</t>
    </rPh>
    <phoneticPr fontId="2"/>
  </si>
  <si>
    <r>
      <t xml:space="preserve">備蓄数・協定済数
</t>
    </r>
    <r>
      <rPr>
        <b/>
        <sz val="14"/>
        <color theme="0"/>
        <rFont val="Meiryo UI"/>
        <family val="3"/>
        <charset val="128"/>
      </rPr>
      <t>（既に備蓄、もしくは協定を締結し確保されている数量）</t>
    </r>
    <rPh sb="0" eb="3">
      <t>ビチクスウ</t>
    </rPh>
    <rPh sb="4" eb="6">
      <t>キョウテイ</t>
    </rPh>
    <rPh sb="6" eb="7">
      <t>スミ</t>
    </rPh>
    <rPh sb="7" eb="8">
      <t>スウ</t>
    </rPh>
    <phoneticPr fontId="2"/>
  </si>
  <si>
    <t>株式会社□□</t>
    <rPh sb="0" eb="4">
      <t>カブシキガイシャ</t>
    </rPh>
    <phoneticPr fontId="1"/>
  </si>
  <si>
    <t>○○課</t>
    <rPh sb="0" eb="3">
      <t>マルマルカ</t>
    </rPh>
    <phoneticPr fontId="1"/>
  </si>
  <si>
    <t>令和７年10月</t>
    <rPh sb="0" eb="2">
      <t>レイワ</t>
    </rPh>
    <rPh sb="3" eb="4">
      <t>ネン</t>
    </rPh>
    <rPh sb="6" eb="7">
      <t>ガツ</t>
    </rPh>
    <phoneticPr fontId="1"/>
  </si>
  <si>
    <t>－</t>
    <phoneticPr fontId="1"/>
  </si>
  <si>
    <t>災害発生後</t>
    <rPh sb="0" eb="5">
      <t>サイガイハッセイゴ</t>
    </rPh>
    <phoneticPr fontId="1"/>
  </si>
  <si>
    <t>株式会社××</t>
    <rPh sb="0" eb="4">
      <t>カブシキガイシャ</t>
    </rPh>
    <phoneticPr fontId="1"/>
  </si>
  <si>
    <t>トイレ確保・管理計画：避難所における災害用トイレの必要数算定シート</t>
    <rPh sb="3" eb="5">
      <t>カクホ</t>
    </rPh>
    <rPh sb="6" eb="10">
      <t>カンリケイカク</t>
    </rPh>
    <phoneticPr fontId="2"/>
  </si>
  <si>
    <r>
      <t>・本シートでは、想定避難者数から災害時に必要となるトイレ数を推計し、そこから現状備蓄されている数及び協定により確保している数を差し引くことにより、</t>
    </r>
    <r>
      <rPr>
        <b/>
        <u/>
        <sz val="18"/>
        <color theme="1"/>
        <rFont val="Meiryo UI"/>
        <family val="3"/>
        <charset val="128"/>
      </rPr>
      <t>追加で導入が必要な数を算定するもの</t>
    </r>
    <r>
      <rPr>
        <sz val="18"/>
        <color theme="1"/>
        <rFont val="Meiryo UI"/>
        <family val="3"/>
        <charset val="128"/>
      </rPr>
      <t>である。算定結果を基に、実際にどのようにトイレを確保するかを検討すること。
・水洗トイレが使用可能になるまでは簡易トイレや、汲み取りが必要な仮設トイレ等により対処することが想定される。</t>
    </r>
    <r>
      <rPr>
        <b/>
        <u/>
        <sz val="18"/>
        <color theme="1"/>
        <rFont val="Meiryo UI"/>
        <family val="3"/>
        <charset val="128"/>
      </rPr>
      <t>本シートは水洗トイレが使用可能になるまでに必要な備蓄等数を算定するものである。</t>
    </r>
    <rPh sb="1" eb="2">
      <t>ホン</t>
    </rPh>
    <rPh sb="8" eb="14">
      <t>ソウテイヒナンシャスウ</t>
    </rPh>
    <rPh sb="16" eb="19">
      <t>サイガイジ</t>
    </rPh>
    <rPh sb="20" eb="22">
      <t>ヒツヨウ</t>
    </rPh>
    <rPh sb="28" eb="29">
      <t>スウ</t>
    </rPh>
    <rPh sb="30" eb="32">
      <t>スイケイ</t>
    </rPh>
    <rPh sb="38" eb="40">
      <t>ゲンジョウ</t>
    </rPh>
    <rPh sb="40" eb="42">
      <t>ビチク</t>
    </rPh>
    <rPh sb="47" eb="48">
      <t>カズ</t>
    </rPh>
    <rPh sb="48" eb="49">
      <t>オヨ</t>
    </rPh>
    <rPh sb="50" eb="52">
      <t>キョウテイ</t>
    </rPh>
    <rPh sb="55" eb="57">
      <t>カクホ</t>
    </rPh>
    <rPh sb="61" eb="62">
      <t>カズ</t>
    </rPh>
    <rPh sb="63" eb="64">
      <t>サ</t>
    </rPh>
    <rPh sb="65" eb="66">
      <t>ヒ</t>
    </rPh>
    <rPh sb="73" eb="75">
      <t>ツイカ</t>
    </rPh>
    <rPh sb="76" eb="78">
      <t>ドウニュウ</t>
    </rPh>
    <rPh sb="79" eb="81">
      <t>ヒツヨウ</t>
    </rPh>
    <rPh sb="82" eb="83">
      <t>カズ</t>
    </rPh>
    <rPh sb="84" eb="86">
      <t>サンテイ</t>
    </rPh>
    <rPh sb="94" eb="98">
      <t>サンテイケッカ</t>
    </rPh>
    <rPh sb="99" eb="100">
      <t>モト</t>
    </rPh>
    <rPh sb="102" eb="104">
      <t>ジッサイ</t>
    </rPh>
    <rPh sb="114" eb="116">
      <t>カクホ</t>
    </rPh>
    <rPh sb="120" eb="122">
      <t>ケントウ</t>
    </rPh>
    <rPh sb="129" eb="131">
      <t>スイセン</t>
    </rPh>
    <rPh sb="135" eb="139">
      <t>シヨウカノウ</t>
    </rPh>
    <rPh sb="145" eb="147">
      <t>カンイ</t>
    </rPh>
    <rPh sb="152" eb="153">
      <t>ク</t>
    </rPh>
    <rPh sb="154" eb="155">
      <t>ト</t>
    </rPh>
    <rPh sb="157" eb="159">
      <t>ヒツヨウ</t>
    </rPh>
    <rPh sb="160" eb="162">
      <t>カセツ</t>
    </rPh>
    <rPh sb="165" eb="166">
      <t>トウ</t>
    </rPh>
    <rPh sb="169" eb="171">
      <t>タイショ</t>
    </rPh>
    <rPh sb="176" eb="178">
      <t>ソウテイ</t>
    </rPh>
    <rPh sb="187" eb="189">
      <t>スイセン</t>
    </rPh>
    <rPh sb="193" eb="197">
      <t>シヨウカノウ</t>
    </rPh>
    <rPh sb="203" eb="205">
      <t>ヒツヨウ</t>
    </rPh>
    <rPh sb="211" eb="213">
      <t>サンテイ</t>
    </rPh>
    <phoneticPr fontId="2"/>
  </si>
  <si>
    <r>
      <rPr>
        <b/>
        <u/>
        <sz val="18"/>
        <color rgb="FFFF0000"/>
        <rFont val="Meiryo UI"/>
        <family val="3"/>
        <charset val="128"/>
      </rPr>
      <t>塗りつぶしセルは要入力であるため、入力をすること。</t>
    </r>
    <r>
      <rPr>
        <sz val="18"/>
        <color theme="1"/>
        <rFont val="Meiryo UI"/>
        <family val="3"/>
        <charset val="128"/>
      </rPr>
      <t xml:space="preserve">
①【算出条件】に発災後想定日数、想定避難者数を入力。合計必要数が自動計算される。
②【備蓄・協定済数】に既に備蓄、協定締結等により確保している数を基数ベースにて入力。
　　回数ベース数が自動計算される。
③【導入必要数】が自動計算される。
④【確保方法（種類）】に回数ベースの確保方法を記入する。
⑤【確保方法（詳細）】に具体的確保先を記入する。</t>
    </r>
    <rPh sb="0" eb="1">
      <t>ヌ</t>
    </rPh>
    <rPh sb="8" eb="11">
      <t>ヨウニュウリョク</t>
    </rPh>
    <rPh sb="17" eb="19">
      <t>ニュウリョク</t>
    </rPh>
    <rPh sb="28" eb="32">
      <t>サンシュツジョウケン</t>
    </rPh>
    <rPh sb="34" eb="36">
      <t>ハッサイ</t>
    </rPh>
    <rPh sb="36" eb="37">
      <t>ゴ</t>
    </rPh>
    <rPh sb="37" eb="39">
      <t>ソウテイ</t>
    </rPh>
    <rPh sb="39" eb="41">
      <t>ニッスウ</t>
    </rPh>
    <rPh sb="42" eb="48">
      <t>ソウテイヒナンシャスウ</t>
    </rPh>
    <rPh sb="49" eb="51">
      <t>ニュウリョク</t>
    </rPh>
    <rPh sb="52" eb="57">
      <t>ゴウケイヒツヨウスウ</t>
    </rPh>
    <rPh sb="58" eb="60">
      <t>ジドウ</t>
    </rPh>
    <rPh sb="60" eb="62">
      <t>ケイサン</t>
    </rPh>
    <rPh sb="69" eb="71">
      <t>ビチク</t>
    </rPh>
    <rPh sb="72" eb="75">
      <t>キョウテイスミ</t>
    </rPh>
    <rPh sb="75" eb="76">
      <t>スウ</t>
    </rPh>
    <rPh sb="78" eb="79">
      <t>スデ</t>
    </rPh>
    <rPh sb="80" eb="82">
      <t>ビチク</t>
    </rPh>
    <rPh sb="83" eb="85">
      <t>キョウテイ</t>
    </rPh>
    <rPh sb="85" eb="87">
      <t>テイケツ</t>
    </rPh>
    <rPh sb="87" eb="88">
      <t>トウ</t>
    </rPh>
    <rPh sb="91" eb="93">
      <t>カクホ</t>
    </rPh>
    <rPh sb="97" eb="98">
      <t>カズ</t>
    </rPh>
    <rPh sb="99" eb="101">
      <t>キスウ</t>
    </rPh>
    <rPh sb="106" eb="108">
      <t>ニュウリョク</t>
    </rPh>
    <rPh sb="112" eb="114">
      <t>カイスウ</t>
    </rPh>
    <rPh sb="117" eb="118">
      <t>カズ</t>
    </rPh>
    <rPh sb="119" eb="121">
      <t>ジドウ</t>
    </rPh>
    <rPh sb="121" eb="123">
      <t>ケイサン</t>
    </rPh>
    <rPh sb="130" eb="135">
      <t>ドウニュウヒツヨウスウ</t>
    </rPh>
    <rPh sb="137" eb="141">
      <t>ジドウケイサン</t>
    </rPh>
    <rPh sb="148" eb="152">
      <t>カクホホウホウ</t>
    </rPh>
    <rPh sb="153" eb="155">
      <t>シュルイ</t>
    </rPh>
    <rPh sb="158" eb="160">
      <t>カイスウ</t>
    </rPh>
    <rPh sb="164" eb="168">
      <t>カクホホウホウ</t>
    </rPh>
    <rPh sb="169" eb="171">
      <t>キニュウ</t>
    </rPh>
    <rPh sb="177" eb="181">
      <t>カクホホウホウ</t>
    </rPh>
    <rPh sb="182" eb="184">
      <t>ショウサイ</t>
    </rPh>
    <rPh sb="187" eb="190">
      <t>グタイテキ</t>
    </rPh>
    <rPh sb="190" eb="193">
      <t>カクホサキ</t>
    </rPh>
    <rPh sb="194" eb="196">
      <t>キニュウ</t>
    </rPh>
    <phoneticPr fontId="2"/>
  </si>
  <si>
    <r>
      <t>塗りつぶしセルは要入力であるため、入力をすること。</t>
    </r>
    <r>
      <rPr>
        <sz val="18"/>
        <color theme="1"/>
        <rFont val="Meiryo UI"/>
        <family val="3"/>
        <charset val="128"/>
      </rPr>
      <t xml:space="preserve">
①【算出条件】に発災後想定日数、想定避難者数を入力。合計必要数が自動計算される。
②【備蓄・協定済数】に既に備蓄、協定締結等により確保している数を基数ベースにて入力。
　　回数ベース数が自動計算される。
③【導入必要数】が自動計算される。
④【確保方法（種類）】に回数ベースの確保方法を記入する。
⑤【確保方法（詳細）】に具体的確保先を記入する。</t>
    </r>
    <rPh sb="0" eb="1">
      <t>ヌ</t>
    </rPh>
    <rPh sb="8" eb="11">
      <t>ヨウニュウリョク</t>
    </rPh>
    <rPh sb="17" eb="19">
      <t>ニュウリョク</t>
    </rPh>
    <rPh sb="28" eb="32">
      <t>サンシュツジョウケン</t>
    </rPh>
    <rPh sb="34" eb="36">
      <t>ハッサイ</t>
    </rPh>
    <rPh sb="36" eb="37">
      <t>ゴ</t>
    </rPh>
    <rPh sb="37" eb="39">
      <t>ソウテイ</t>
    </rPh>
    <rPh sb="39" eb="41">
      <t>ニッスウ</t>
    </rPh>
    <rPh sb="42" eb="48">
      <t>ソウテイヒナンシャスウ</t>
    </rPh>
    <rPh sb="49" eb="51">
      <t>ニュウリョク</t>
    </rPh>
    <rPh sb="52" eb="57">
      <t>ゴウケイヒツヨウスウ</t>
    </rPh>
    <rPh sb="58" eb="60">
      <t>ジドウ</t>
    </rPh>
    <rPh sb="60" eb="62">
      <t>ケイサン</t>
    </rPh>
    <rPh sb="69" eb="71">
      <t>ビチク</t>
    </rPh>
    <rPh sb="72" eb="75">
      <t>キョウテイスミ</t>
    </rPh>
    <rPh sb="75" eb="76">
      <t>スウ</t>
    </rPh>
    <rPh sb="78" eb="79">
      <t>スデ</t>
    </rPh>
    <rPh sb="80" eb="82">
      <t>ビチク</t>
    </rPh>
    <rPh sb="83" eb="85">
      <t>キョウテイ</t>
    </rPh>
    <rPh sb="85" eb="87">
      <t>テイケツ</t>
    </rPh>
    <rPh sb="87" eb="88">
      <t>トウ</t>
    </rPh>
    <rPh sb="91" eb="93">
      <t>カクホ</t>
    </rPh>
    <rPh sb="97" eb="98">
      <t>カズ</t>
    </rPh>
    <rPh sb="99" eb="101">
      <t>キスウ</t>
    </rPh>
    <rPh sb="106" eb="108">
      <t>ニュウリョク</t>
    </rPh>
    <rPh sb="112" eb="114">
      <t>カイスウ</t>
    </rPh>
    <rPh sb="117" eb="118">
      <t>カズ</t>
    </rPh>
    <rPh sb="119" eb="121">
      <t>ジドウ</t>
    </rPh>
    <rPh sb="121" eb="123">
      <t>ケイサン</t>
    </rPh>
    <rPh sb="130" eb="135">
      <t>ドウニュウヒツヨウスウ</t>
    </rPh>
    <rPh sb="137" eb="141">
      <t>ジドウケイサン</t>
    </rPh>
    <rPh sb="148" eb="152">
      <t>カクホホウホウ</t>
    </rPh>
    <rPh sb="153" eb="155">
      <t>シュルイ</t>
    </rPh>
    <rPh sb="158" eb="160">
      <t>カイスウ</t>
    </rPh>
    <rPh sb="164" eb="168">
      <t>カクホホウホウ</t>
    </rPh>
    <rPh sb="169" eb="171">
      <t>キニュウ</t>
    </rPh>
    <rPh sb="177" eb="181">
      <t>カクホホウホウ</t>
    </rPh>
    <rPh sb="182" eb="184">
      <t>ショウサイ</t>
    </rPh>
    <rPh sb="187" eb="190">
      <t>グタイテキ</t>
    </rPh>
    <rPh sb="190" eb="193">
      <t>カクホサキ</t>
    </rPh>
    <rPh sb="194" eb="196">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</si>
</sst>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quot;基&quot;"/>
    <numFmt numFmtId="177" formatCode="&quot;※設置型の合計は&quot;#,##0&quot;基&quot;"/>
    <numFmt numFmtId="178" formatCode="#,##0&quot;個&quot;"/>
    <numFmt numFmtId="179" formatCode="#,##0&quot;回&quot;"/>
    <numFmt numFmtId="180" formatCode="#,###&quot;基&quot;"/>
    <numFmt numFmtId="181" formatCode="#,###&quot;回&quot;"/>
    <numFmt numFmtId="182" formatCode="#,##0&quot;回&quot;;[Red]\-#,###"/>
    <numFmt numFmtId="183" formatCode="0_);[Red]\(0\)"/>
    <numFmt numFmtId="184" formatCode="#,##0_);[Red]\(#,##0\)"/>
    <numFmt numFmtId="185" formatCode="#,##0_ "/>
  </numFmts>
  <fonts count="32" x14ac:knownFonts="1">
    <font>
      <sz val="11"/>
      <color theme="1"/>
      <name val="游ゴシック"/>
      <family val="2"/>
      <charset val="128"/>
      <scheme val="minor"/>
    </font>
    <font>
      <sz val="11"/>
      <color theme="1"/>
      <name val="Meiryo UI"/>
      <family val="3"/>
      <charset val="128"/>
    </font>
    <font>
      <sz val="6"/>
      <name val="游ゴシック"/>
      <family val="2"/>
      <charset val="128"/>
      <scheme val="minor"/>
    </font>
    <font>
      <b/>
      <sz val="24"/>
      <color theme="1"/>
      <name val="Meiryo UI"/>
      <family val="3"/>
      <charset val="128"/>
    </font>
    <font>
      <b/>
      <sz val="11"/>
      <color theme="1"/>
      <name val="Meiryo UI"/>
      <family val="3"/>
      <charset val="128"/>
    </font>
    <font>
      <sz val="12"/>
      <color theme="1"/>
      <name val="Meiryo UI"/>
      <family val="3"/>
      <charset val="128"/>
    </font>
    <font>
      <b/>
      <sz val="12"/>
      <color theme="1"/>
      <name val="Meiryo UI"/>
      <family val="3"/>
      <charset val="128"/>
    </font>
    <font>
      <sz val="14"/>
      <color theme="1"/>
      <name val="Meiryo UI"/>
      <family val="3"/>
      <charset val="128"/>
    </font>
    <font>
      <b/>
      <sz val="14"/>
      <color theme="1"/>
      <name val="Meiryo UI"/>
      <family val="3"/>
      <charset val="128"/>
    </font>
    <font>
      <b/>
      <sz val="14"/>
      <name val="Meiryo UI"/>
      <family val="3"/>
      <charset val="128"/>
    </font>
    <font>
      <b/>
      <sz val="14"/>
      <color rgb="FFFF0000"/>
      <name val="Meiryo UI"/>
      <family val="3"/>
      <charset val="128"/>
    </font>
    <font>
      <sz val="14"/>
      <color theme="1"/>
      <name val="游ゴシック"/>
      <family val="2"/>
      <charset val="128"/>
      <scheme val="minor"/>
    </font>
    <font>
      <b/>
      <sz val="13"/>
      <color theme="1"/>
      <name val="Meiryo UI"/>
      <family val="3"/>
      <charset val="128"/>
    </font>
    <font>
      <b/>
      <sz val="14"/>
      <color theme="0"/>
      <name val="Meiryo UI"/>
      <family val="3"/>
      <charset val="128"/>
    </font>
    <font>
      <sz val="16"/>
      <color theme="1"/>
      <name val="Meiryo UI"/>
      <family val="3"/>
      <charset val="128"/>
    </font>
    <font>
      <sz val="14"/>
      <color rgb="FFFF0000"/>
      <name val="Meiryo UI"/>
      <family val="3"/>
      <charset val="128"/>
    </font>
    <font>
      <b/>
      <sz val="16"/>
      <color theme="0"/>
      <name val="Meiryo UI"/>
      <family val="3"/>
      <charset val="128"/>
    </font>
    <font>
      <sz val="16"/>
      <color theme="1"/>
      <name val="游ゴシック"/>
      <family val="2"/>
      <charset val="128"/>
      <scheme val="minor"/>
    </font>
    <font>
      <b/>
      <sz val="16"/>
      <name val="Meiryo UI"/>
      <family val="3"/>
      <charset val="128"/>
    </font>
    <font>
      <b/>
      <sz val="16"/>
      <color theme="1"/>
      <name val="Meiryo UI"/>
      <family val="3"/>
      <charset val="128"/>
    </font>
    <font>
      <b/>
      <sz val="18"/>
      <color theme="1"/>
      <name val="Meiryo UI"/>
      <family val="3"/>
      <charset val="128"/>
    </font>
    <font>
      <b/>
      <sz val="28"/>
      <color theme="0"/>
      <name val="Meiryo UI"/>
      <family val="3"/>
      <charset val="128"/>
    </font>
    <font>
      <b/>
      <sz val="28"/>
      <color theme="1"/>
      <name val="Meiryo UI"/>
      <family val="3"/>
      <charset val="128"/>
    </font>
    <font>
      <sz val="28"/>
      <color theme="1"/>
      <name val="Meiryo UI"/>
      <family val="3"/>
      <charset val="128"/>
    </font>
    <font>
      <b/>
      <sz val="36"/>
      <color theme="1"/>
      <name val="Meiryo UI"/>
      <family val="3"/>
      <charset val="128"/>
    </font>
    <font>
      <sz val="18"/>
      <color theme="1"/>
      <name val="Meiryo UI"/>
      <family val="3"/>
      <charset val="128"/>
    </font>
    <font>
      <b/>
      <u/>
      <sz val="18"/>
      <color theme="1"/>
      <name val="Meiryo UI"/>
      <family val="3"/>
      <charset val="128"/>
    </font>
    <font>
      <b/>
      <u/>
      <sz val="18"/>
      <color rgb="FFFF0000"/>
      <name val="Meiryo UI"/>
      <family val="3"/>
      <charset val="128"/>
    </font>
    <font>
      <b/>
      <sz val="20"/>
      <color rgb="FFFF0000"/>
      <name val="Meiryo UI"/>
      <family val="3"/>
      <charset val="128"/>
    </font>
    <font>
      <b/>
      <sz val="20"/>
      <color theme="1"/>
      <name val="Meiryo UI"/>
      <family val="3"/>
      <charset val="128"/>
    </font>
    <font>
      <b/>
      <sz val="11"/>
      <name val="Meiryo UI"/>
      <family val="3"/>
      <charset val="128"/>
    </font>
    <font>
      <b/>
      <sz val="32"/>
      <color theme="1"/>
      <name val="Meiryo UI"/>
      <family val="3"/>
      <charset val="128"/>
    </font>
  </fonts>
  <fills count="8">
    <fill>
      <patternFill patternType="none"/>
    </fill>
    <fill>
      <patternFill patternType="gray125"/>
    </fill>
    <fill>
      <patternFill patternType="solid">
        <fgColor theme="5" tint="0.79998168889431442"/>
        <bgColor indexed="64"/>
      </patternFill>
    </fill>
    <fill>
      <patternFill patternType="solid">
        <fgColor rgb="FF0070C0"/>
        <bgColor indexed="64"/>
      </patternFill>
    </fill>
    <fill>
      <patternFill patternType="solid">
        <fgColor theme="7" tint="0.79998168889431442"/>
        <bgColor indexed="64"/>
      </patternFill>
    </fill>
    <fill>
      <patternFill patternType="solid">
        <fgColor rgb="FFECF9FE"/>
        <bgColor indexed="64"/>
      </patternFill>
    </fill>
    <fill>
      <patternFill patternType="solid">
        <fgColor theme="2" tint="-9.9978637043366805E-2"/>
        <bgColor indexed="64"/>
      </patternFill>
    </fill>
    <fill>
      <patternFill patternType="solid">
        <fgColor theme="1" tint="0.499984740745262"/>
        <bgColor indexed="64"/>
      </patternFill>
    </fill>
  </fills>
  <borders count="8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right/>
      <top style="medium">
        <color indexed="64"/>
      </top>
      <bottom style="medium">
        <color theme="1"/>
      </bottom>
      <diagonal/>
    </border>
    <border>
      <left/>
      <right style="medium">
        <color theme="1"/>
      </right>
      <top/>
      <bottom style="medium">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diagonalUp="1">
      <left style="thin">
        <color indexed="64"/>
      </left>
      <right style="thin">
        <color indexed="64"/>
      </right>
      <top/>
      <bottom/>
      <diagonal style="thin">
        <color indexed="64"/>
      </diagonal>
    </border>
    <border>
      <left style="thin">
        <color indexed="64"/>
      </left>
      <right/>
      <top style="medium">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medium">
        <color indexed="64"/>
      </bottom>
      <diagonal style="thin">
        <color indexed="64"/>
      </diagonal>
    </border>
    <border diagonalUp="1">
      <left style="medium">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left/>
      <right style="medium">
        <color indexed="64"/>
      </right>
      <top/>
      <bottom style="thin">
        <color indexed="64"/>
      </bottom>
      <diagonal/>
    </border>
    <border diagonalUp="1">
      <left style="medium">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top style="medium">
        <color indexed="64"/>
      </top>
      <bottom style="thin">
        <color indexed="64"/>
      </bottom>
      <diagonal style="thin">
        <color indexed="64"/>
      </diagonal>
    </border>
    <border>
      <left/>
      <right style="medium">
        <color indexed="64"/>
      </right>
      <top style="medium">
        <color indexed="64"/>
      </top>
      <bottom style="thin">
        <color indexed="64"/>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s>
  <cellStyleXfs count="1">
    <xf numFmtId="0" fontId="0" fillId="0" borderId="0">
      <alignment vertical="center"/>
    </xf>
  </cellStyleXfs>
  <cellXfs count="304">
    <xf numFmtId="0" fontId="0" fillId="0" borderId="0" xfId="0">
      <alignment vertical="center"/>
    </xf>
    <xf numFmtId="0" fontId="1" fillId="0" borderId="0" xfId="0" applyFont="1">
      <alignment vertical="center"/>
    </xf>
    <xf numFmtId="0" fontId="7" fillId="0" borderId="0" xfId="0" applyFont="1">
      <alignment vertical="center"/>
    </xf>
    <xf numFmtId="0" fontId="8" fillId="0" borderId="0" xfId="0" applyFont="1" applyAlignment="1">
      <alignment horizontal="center" vertical="center"/>
    </xf>
    <xf numFmtId="0" fontId="9" fillId="0" borderId="7" xfId="0" applyFont="1" applyBorder="1">
      <alignment vertical="center"/>
    </xf>
    <xf numFmtId="0" fontId="10" fillId="2" borderId="8" xfId="0" applyFont="1" applyFill="1" applyBorder="1">
      <alignment vertical="center"/>
    </xf>
    <xf numFmtId="0" fontId="9" fillId="0" borderId="9" xfId="0" applyFont="1" applyBorder="1">
      <alignment vertical="center"/>
    </xf>
    <xf numFmtId="0" fontId="9" fillId="0" borderId="15" xfId="0" applyFont="1" applyBorder="1">
      <alignment vertical="center"/>
    </xf>
    <xf numFmtId="3" fontId="10" fillId="2" borderId="11" xfId="0" applyNumberFormat="1" applyFont="1" applyFill="1" applyBorder="1">
      <alignment vertical="center"/>
    </xf>
    <xf numFmtId="0" fontId="9" fillId="0" borderId="12" xfId="0" applyFont="1" applyBorder="1">
      <alignment vertical="center"/>
    </xf>
    <xf numFmtId="0" fontId="8" fillId="0" borderId="17" xfId="0" applyFont="1" applyBorder="1" applyAlignment="1">
      <alignment horizontal="center" vertical="center"/>
    </xf>
    <xf numFmtId="0" fontId="1" fillId="0" borderId="0" xfId="0" applyFont="1" applyAlignment="1">
      <alignment horizontal="left" vertical="center"/>
    </xf>
    <xf numFmtId="3" fontId="10" fillId="0" borderId="3" xfId="0" applyNumberFormat="1" applyFont="1" applyBorder="1">
      <alignment vertical="center"/>
    </xf>
    <xf numFmtId="0" fontId="17" fillId="0" borderId="0" xfId="0" applyFont="1">
      <alignment vertical="center"/>
    </xf>
    <xf numFmtId="0" fontId="8" fillId="0" borderId="23" xfId="0" applyFont="1" applyBorder="1">
      <alignment vertical="center"/>
    </xf>
    <xf numFmtId="0" fontId="8" fillId="0" borderId="4" xfId="0" applyFont="1" applyBorder="1" applyAlignment="1">
      <alignment horizontal="left" vertical="center"/>
    </xf>
    <xf numFmtId="0" fontId="6" fillId="0" borderId="23" xfId="0" applyFont="1" applyBorder="1">
      <alignment vertical="center"/>
    </xf>
    <xf numFmtId="0" fontId="8" fillId="0" borderId="4" xfId="0" applyFont="1" applyBorder="1">
      <alignment vertical="center"/>
    </xf>
    <xf numFmtId="0" fontId="8" fillId="0" borderId="28" xfId="0" applyFont="1" applyBorder="1">
      <alignment vertical="center"/>
    </xf>
    <xf numFmtId="0" fontId="7" fillId="0" borderId="4" xfId="0" applyFont="1" applyBorder="1">
      <alignment vertical="center"/>
    </xf>
    <xf numFmtId="0" fontId="4" fillId="0" borderId="47" xfId="0" applyFont="1" applyBorder="1">
      <alignment vertical="center"/>
    </xf>
    <xf numFmtId="0" fontId="4" fillId="0" borderId="28" xfId="0" applyFont="1" applyBorder="1">
      <alignment vertical="center"/>
    </xf>
    <xf numFmtId="0" fontId="8" fillId="0" borderId="14" xfId="0" applyFont="1" applyBorder="1" applyAlignment="1">
      <alignment horizontal="center" vertical="center"/>
    </xf>
    <xf numFmtId="0" fontId="8" fillId="5" borderId="14" xfId="0" applyFont="1" applyFill="1" applyBorder="1" applyAlignment="1">
      <alignment horizontal="center" vertical="center"/>
    </xf>
    <xf numFmtId="0" fontId="8" fillId="5" borderId="15" xfId="0" applyFont="1" applyFill="1" applyBorder="1" applyAlignment="1">
      <alignment horizontal="center" vertical="center"/>
    </xf>
    <xf numFmtId="176" fontId="7" fillId="0" borderId="6" xfId="0" applyNumberFormat="1" applyFont="1" applyBorder="1">
      <alignment vertical="center"/>
    </xf>
    <xf numFmtId="178" fontId="7" fillId="0" borderId="17" xfId="0" applyNumberFormat="1" applyFont="1" applyBorder="1">
      <alignment vertical="center"/>
    </xf>
    <xf numFmtId="0" fontId="18" fillId="0" borderId="0" xfId="0" applyFont="1" applyFill="1" applyBorder="1" applyAlignment="1">
      <alignment horizontal="center" vertical="center" wrapText="1"/>
    </xf>
    <xf numFmtId="0" fontId="8" fillId="0" borderId="0" xfId="0" applyFont="1" applyFill="1" applyBorder="1" applyAlignment="1">
      <alignment horizontal="center" vertical="center"/>
    </xf>
    <xf numFmtId="0" fontId="15" fillId="0" borderId="0" xfId="0" applyFont="1" applyFill="1" applyBorder="1" applyAlignment="1">
      <alignment horizontal="center" vertical="center"/>
    </xf>
    <xf numFmtId="176" fontId="7" fillId="0" borderId="17" xfId="0" applyNumberFormat="1" applyFont="1" applyBorder="1">
      <alignment vertical="center"/>
    </xf>
    <xf numFmtId="0" fontId="8" fillId="0" borderId="2" xfId="0" applyFont="1" applyBorder="1" applyAlignment="1">
      <alignment vertical="center" shrinkToFit="1"/>
    </xf>
    <xf numFmtId="0" fontId="8" fillId="0" borderId="31" xfId="0" applyFont="1" applyBorder="1" applyAlignment="1">
      <alignment vertical="center" shrinkToFit="1"/>
    </xf>
    <xf numFmtId="3" fontId="7" fillId="2" borderId="6" xfId="0" applyNumberFormat="1" applyFont="1" applyFill="1" applyBorder="1" applyAlignment="1">
      <alignment horizontal="center" vertical="center"/>
    </xf>
    <xf numFmtId="3" fontId="8" fillId="0" borderId="14" xfId="0" applyNumberFormat="1" applyFont="1" applyBorder="1" applyAlignment="1">
      <alignment horizontal="center" vertical="center"/>
    </xf>
    <xf numFmtId="0" fontId="8" fillId="0" borderId="23" xfId="0" applyFont="1" applyBorder="1" applyAlignment="1">
      <alignment vertical="center" shrinkToFit="1"/>
    </xf>
    <xf numFmtId="0" fontId="8" fillId="0" borderId="24" xfId="0" applyFont="1" applyBorder="1" applyAlignment="1">
      <alignment vertical="center" shrinkToFit="1"/>
    </xf>
    <xf numFmtId="176" fontId="7" fillId="0" borderId="6" xfId="0" applyNumberFormat="1" applyFont="1" applyFill="1" applyBorder="1">
      <alignment vertical="center"/>
    </xf>
    <xf numFmtId="3" fontId="9" fillId="0" borderId="14" xfId="0" applyNumberFormat="1" applyFont="1" applyBorder="1" applyAlignment="1">
      <alignment horizontal="center" vertical="center"/>
    </xf>
    <xf numFmtId="182" fontId="10" fillId="0" borderId="14" xfId="0" applyNumberFormat="1" applyFont="1" applyBorder="1">
      <alignment vertical="center"/>
    </xf>
    <xf numFmtId="180" fontId="9" fillId="0" borderId="14" xfId="0" applyNumberFormat="1" applyFont="1" applyBorder="1">
      <alignment vertical="center"/>
    </xf>
    <xf numFmtId="0" fontId="7" fillId="2" borderId="17" xfId="0" applyFont="1" applyFill="1" applyBorder="1" applyAlignment="1">
      <alignment horizontal="center" vertical="center"/>
    </xf>
    <xf numFmtId="0" fontId="7" fillId="2" borderId="6" xfId="0" applyFont="1" applyFill="1" applyBorder="1" applyAlignment="1">
      <alignment horizontal="center" vertical="center"/>
    </xf>
    <xf numFmtId="3" fontId="7" fillId="2" borderId="17" xfId="0" applyNumberFormat="1" applyFont="1" applyFill="1" applyBorder="1" applyAlignment="1">
      <alignment horizontal="center" vertical="center"/>
    </xf>
    <xf numFmtId="0" fontId="1" fillId="2" borderId="18" xfId="0" applyFont="1" applyFill="1" applyBorder="1" applyAlignment="1">
      <alignment horizontal="center" vertical="center"/>
    </xf>
    <xf numFmtId="0" fontId="1" fillId="2" borderId="16" xfId="0" applyFont="1" applyFill="1" applyBorder="1" applyAlignment="1">
      <alignment horizontal="center" vertical="center"/>
    </xf>
    <xf numFmtId="0" fontId="8" fillId="0" borderId="0" xfId="0" applyFont="1" applyBorder="1" applyAlignment="1">
      <alignment horizontal="left" vertical="center"/>
    </xf>
    <xf numFmtId="0" fontId="8" fillId="0" borderId="0" xfId="0" applyFont="1" applyBorder="1" applyAlignment="1">
      <alignment horizontal="center" vertical="center"/>
    </xf>
    <xf numFmtId="182" fontId="10" fillId="0" borderId="0" xfId="0" applyNumberFormat="1" applyFont="1" applyBorder="1">
      <alignment vertical="center"/>
    </xf>
    <xf numFmtId="180" fontId="9" fillId="0" borderId="0" xfId="0" applyNumberFormat="1" applyFont="1" applyBorder="1">
      <alignment vertical="center"/>
    </xf>
    <xf numFmtId="3" fontId="9" fillId="0" borderId="0" xfId="0" applyNumberFormat="1" applyFont="1" applyBorder="1" applyAlignment="1">
      <alignment horizontal="center" vertical="center"/>
    </xf>
    <xf numFmtId="0" fontId="19" fillId="4" borderId="4" xfId="0" applyFont="1" applyFill="1" applyBorder="1" applyAlignment="1">
      <alignment horizontal="center" vertical="center"/>
    </xf>
    <xf numFmtId="0" fontId="5" fillId="0" borderId="0" xfId="0" applyFont="1" applyAlignment="1">
      <alignment horizontal="left" vertical="center" wrapText="1"/>
    </xf>
    <xf numFmtId="0" fontId="7" fillId="0" borderId="1" xfId="0" applyNumberFormat="1" applyFont="1" applyFill="1" applyBorder="1">
      <alignment vertical="center"/>
    </xf>
    <xf numFmtId="0" fontId="7" fillId="0" borderId="27" xfId="0" applyNumberFormat="1" applyFont="1" applyFill="1" applyBorder="1">
      <alignment vertical="center"/>
    </xf>
    <xf numFmtId="0" fontId="7" fillId="0" borderId="6" xfId="0" applyNumberFormat="1" applyFont="1" applyFill="1" applyBorder="1">
      <alignment vertical="center"/>
    </xf>
    <xf numFmtId="183" fontId="7" fillId="2" borderId="1" xfId="0" applyNumberFormat="1" applyFont="1" applyFill="1" applyBorder="1">
      <alignment vertical="center"/>
    </xf>
    <xf numFmtId="183" fontId="7" fillId="2" borderId="6" xfId="0" applyNumberFormat="1" applyFont="1" applyFill="1" applyBorder="1">
      <alignment vertical="center"/>
    </xf>
    <xf numFmtId="183" fontId="7" fillId="2" borderId="11" xfId="0" applyNumberFormat="1" applyFont="1" applyFill="1" applyBorder="1">
      <alignment vertical="center"/>
    </xf>
    <xf numFmtId="0" fontId="6" fillId="0" borderId="25" xfId="0" applyFont="1" applyBorder="1" applyAlignment="1">
      <alignment horizontal="center" vertical="center"/>
    </xf>
    <xf numFmtId="183" fontId="7" fillId="2" borderId="2" xfId="0" applyNumberFormat="1" applyFont="1" applyFill="1" applyBorder="1">
      <alignment vertical="center"/>
    </xf>
    <xf numFmtId="183" fontId="7" fillId="0" borderId="23" xfId="0" applyNumberFormat="1" applyFont="1" applyBorder="1" applyAlignment="1">
      <alignment horizontal="center" vertical="center"/>
    </xf>
    <xf numFmtId="0" fontId="13" fillId="0" borderId="39" xfId="0" applyFont="1" applyFill="1" applyBorder="1" applyAlignment="1">
      <alignment vertical="center" wrapText="1"/>
    </xf>
    <xf numFmtId="3" fontId="10" fillId="0" borderId="39" xfId="0" applyNumberFormat="1" applyFont="1" applyFill="1" applyBorder="1">
      <alignment vertical="center"/>
    </xf>
    <xf numFmtId="0" fontId="7" fillId="0" borderId="34" xfId="0" applyFont="1" applyBorder="1">
      <alignment vertical="center"/>
    </xf>
    <xf numFmtId="3" fontId="10" fillId="0" borderId="13" xfId="0" applyNumberFormat="1" applyFont="1" applyBorder="1">
      <alignment vertical="center"/>
    </xf>
    <xf numFmtId="181" fontId="10" fillId="0" borderId="0" xfId="0" applyNumberFormat="1" applyFont="1" applyBorder="1" applyAlignment="1">
      <alignment vertical="center"/>
    </xf>
    <xf numFmtId="181" fontId="10" fillId="0" borderId="4" xfId="0" applyNumberFormat="1" applyFont="1" applyBorder="1" applyAlignment="1">
      <alignment vertical="center"/>
    </xf>
    <xf numFmtId="184" fontId="7" fillId="2" borderId="2" xfId="0" applyNumberFormat="1" applyFont="1" applyFill="1" applyBorder="1">
      <alignment vertical="center"/>
    </xf>
    <xf numFmtId="184" fontId="7" fillId="2" borderId="1" xfId="0" applyNumberFormat="1" applyFont="1" applyFill="1" applyBorder="1">
      <alignment vertical="center"/>
    </xf>
    <xf numFmtId="184" fontId="7" fillId="2" borderId="6" xfId="0" applyNumberFormat="1" applyFont="1" applyFill="1" applyBorder="1">
      <alignment vertical="center"/>
    </xf>
    <xf numFmtId="184" fontId="7" fillId="2" borderId="16" xfId="0" applyNumberFormat="1" applyFont="1" applyFill="1" applyBorder="1">
      <alignment vertical="center"/>
    </xf>
    <xf numFmtId="184" fontId="7" fillId="0" borderId="23" xfId="0" applyNumberFormat="1" applyFont="1" applyBorder="1" applyAlignment="1">
      <alignment horizontal="center" vertical="center"/>
    </xf>
    <xf numFmtId="185" fontId="7" fillId="2" borderId="17" xfId="0" applyNumberFormat="1" applyFont="1" applyFill="1" applyBorder="1">
      <alignment vertical="center"/>
    </xf>
    <xf numFmtId="185" fontId="7" fillId="2" borderId="6" xfId="0" applyNumberFormat="1" applyFont="1" applyFill="1" applyBorder="1">
      <alignment vertical="center"/>
    </xf>
    <xf numFmtId="0" fontId="7" fillId="2" borderId="17" xfId="0" applyNumberFormat="1" applyFont="1" applyFill="1" applyBorder="1">
      <alignment vertical="center"/>
    </xf>
    <xf numFmtId="0" fontId="7" fillId="2" borderId="6" xfId="0" applyNumberFormat="1" applyFont="1" applyFill="1" applyBorder="1">
      <alignment vertical="center"/>
    </xf>
    <xf numFmtId="0" fontId="9" fillId="0" borderId="0" xfId="0" applyFont="1" applyFill="1" applyBorder="1">
      <alignment vertical="center"/>
    </xf>
    <xf numFmtId="0" fontId="10" fillId="0" borderId="0" xfId="0" applyFont="1" applyFill="1" applyBorder="1">
      <alignment vertical="center"/>
    </xf>
    <xf numFmtId="3" fontId="10" fillId="0" borderId="0" xfId="0" applyNumberFormat="1" applyFont="1" applyFill="1" applyBorder="1">
      <alignment vertical="center"/>
    </xf>
    <xf numFmtId="180" fontId="9" fillId="0" borderId="34" xfId="0" applyNumberFormat="1" applyFont="1" applyBorder="1" applyAlignment="1">
      <alignment vertical="center"/>
    </xf>
    <xf numFmtId="0" fontId="7" fillId="0" borderId="20" xfId="0" applyNumberFormat="1" applyFont="1" applyFill="1" applyBorder="1">
      <alignment vertical="center"/>
    </xf>
    <xf numFmtId="0" fontId="7" fillId="0" borderId="17" xfId="0" applyNumberFormat="1" applyFont="1" applyFill="1" applyBorder="1">
      <alignment vertical="center"/>
    </xf>
    <xf numFmtId="0" fontId="7" fillId="0" borderId="16" xfId="0" applyNumberFormat="1" applyFont="1" applyFill="1" applyBorder="1">
      <alignment vertical="center"/>
    </xf>
    <xf numFmtId="0" fontId="7" fillId="0" borderId="55" xfId="0" applyNumberFormat="1" applyFont="1" applyFill="1" applyBorder="1">
      <alignment vertical="center"/>
    </xf>
    <xf numFmtId="0" fontId="7" fillId="0" borderId="29" xfId="0" applyNumberFormat="1" applyFont="1" applyFill="1" applyBorder="1">
      <alignment vertical="center"/>
    </xf>
    <xf numFmtId="3" fontId="9" fillId="0" borderId="47" xfId="0" applyNumberFormat="1" applyFont="1" applyBorder="1" applyAlignment="1">
      <alignment horizontal="center" vertical="center"/>
    </xf>
    <xf numFmtId="0" fontId="9" fillId="0" borderId="4" xfId="0" applyFont="1" applyBorder="1" applyAlignment="1">
      <alignment horizontal="center" vertical="center"/>
    </xf>
    <xf numFmtId="185" fontId="7" fillId="2" borderId="29" xfId="0" applyNumberFormat="1" applyFont="1" applyFill="1" applyBorder="1">
      <alignment vertical="center"/>
    </xf>
    <xf numFmtId="183" fontId="7" fillId="2" borderId="20" xfId="0" applyNumberFormat="1" applyFont="1" applyFill="1" applyBorder="1">
      <alignment vertical="center"/>
    </xf>
    <xf numFmtId="0" fontId="6" fillId="0" borderId="14" xfId="0" applyFont="1" applyBorder="1" applyAlignment="1">
      <alignment horizontal="center" vertical="center"/>
    </xf>
    <xf numFmtId="184" fontId="7" fillId="2" borderId="54" xfId="0" applyNumberFormat="1" applyFont="1" applyFill="1" applyBorder="1">
      <alignment vertical="center"/>
    </xf>
    <xf numFmtId="184" fontId="7" fillId="2" borderId="53" xfId="0" applyNumberFormat="1" applyFont="1" applyFill="1" applyBorder="1">
      <alignment vertical="center"/>
    </xf>
    <xf numFmtId="0" fontId="8" fillId="0" borderId="47" xfId="0" applyFont="1" applyBorder="1">
      <alignment vertical="center"/>
    </xf>
    <xf numFmtId="0" fontId="8" fillId="0" borderId="4" xfId="0" applyFont="1" applyBorder="1" applyAlignment="1">
      <alignment horizontal="center" vertical="center"/>
    </xf>
    <xf numFmtId="184" fontId="8" fillId="0" borderId="29" xfId="0" applyNumberFormat="1" applyFont="1" applyFill="1" applyBorder="1" applyAlignment="1">
      <alignment horizontal="center" vertical="center"/>
    </xf>
    <xf numFmtId="184" fontId="8" fillId="0" borderId="6" xfId="0" applyNumberFormat="1" applyFont="1" applyFill="1" applyBorder="1" applyAlignment="1">
      <alignment horizontal="center" vertical="center"/>
    </xf>
    <xf numFmtId="183" fontId="8" fillId="0" borderId="55" xfId="0" applyNumberFormat="1" applyFont="1" applyFill="1" applyBorder="1" applyAlignment="1">
      <alignment horizontal="center" vertical="center"/>
    </xf>
    <xf numFmtId="183" fontId="8" fillId="0" borderId="1" xfId="0" applyNumberFormat="1" applyFont="1" applyFill="1" applyBorder="1" applyAlignment="1">
      <alignment horizontal="center" vertical="center"/>
    </xf>
    <xf numFmtId="181" fontId="9" fillId="0" borderId="23" xfId="0" applyNumberFormat="1" applyFont="1" applyBorder="1">
      <alignment vertical="center"/>
    </xf>
    <xf numFmtId="181" fontId="10" fillId="0" borderId="4" xfId="0" applyNumberFormat="1" applyFont="1" applyBorder="1">
      <alignment vertical="center"/>
    </xf>
    <xf numFmtId="0" fontId="7" fillId="0" borderId="33" xfId="0" applyFont="1" applyBorder="1">
      <alignment vertical="center"/>
    </xf>
    <xf numFmtId="0" fontId="1" fillId="0" borderId="35" xfId="0" applyFont="1" applyBorder="1">
      <alignment vertical="center"/>
    </xf>
    <xf numFmtId="0" fontId="7" fillId="0" borderId="0" xfId="0" applyFont="1" applyBorder="1">
      <alignment vertical="center"/>
    </xf>
    <xf numFmtId="0" fontId="1" fillId="0" borderId="39" xfId="0" applyFont="1" applyBorder="1">
      <alignment vertical="center"/>
    </xf>
    <xf numFmtId="0" fontId="9" fillId="0" borderId="0" xfId="0" applyFont="1" applyBorder="1">
      <alignment vertical="center"/>
    </xf>
    <xf numFmtId="0" fontId="11" fillId="0" borderId="0" xfId="0" applyFont="1" applyBorder="1">
      <alignment vertical="center"/>
    </xf>
    <xf numFmtId="0" fontId="0" fillId="0" borderId="39" xfId="0" applyBorder="1">
      <alignment vertical="center"/>
    </xf>
    <xf numFmtId="0" fontId="0" fillId="0" borderId="35" xfId="0" applyBorder="1">
      <alignment vertical="center"/>
    </xf>
    <xf numFmtId="0" fontId="1" fillId="0" borderId="0" xfId="0" applyFont="1" applyBorder="1">
      <alignment vertical="center"/>
    </xf>
    <xf numFmtId="177" fontId="14" fillId="0" borderId="0" xfId="0" applyNumberFormat="1" applyFont="1" applyBorder="1" applyAlignment="1">
      <alignment horizontal="center" vertical="center"/>
    </xf>
    <xf numFmtId="3" fontId="7" fillId="0" borderId="0" xfId="0" applyNumberFormat="1" applyFont="1" applyBorder="1">
      <alignment vertical="center"/>
    </xf>
    <xf numFmtId="0" fontId="1" fillId="0" borderId="56" xfId="0" applyFont="1" applyBorder="1">
      <alignment vertical="center"/>
    </xf>
    <xf numFmtId="0" fontId="1" fillId="0" borderId="57" xfId="0" applyFont="1" applyBorder="1">
      <alignment vertical="center"/>
    </xf>
    <xf numFmtId="0" fontId="0" fillId="0" borderId="57" xfId="0" applyBorder="1">
      <alignment vertical="center"/>
    </xf>
    <xf numFmtId="0" fontId="0" fillId="0" borderId="56" xfId="0" applyBorder="1">
      <alignment vertical="center"/>
    </xf>
    <xf numFmtId="0" fontId="1" fillId="0" borderId="58" xfId="0" applyFont="1" applyBorder="1">
      <alignment vertical="center"/>
    </xf>
    <xf numFmtId="0" fontId="7" fillId="0" borderId="59" xfId="0" applyFont="1" applyBorder="1">
      <alignment vertical="center"/>
    </xf>
    <xf numFmtId="3" fontId="7" fillId="0" borderId="59" xfId="0" applyNumberFormat="1" applyFont="1" applyBorder="1">
      <alignment vertical="center"/>
    </xf>
    <xf numFmtId="0" fontId="1" fillId="0" borderId="61" xfId="0" applyFont="1" applyBorder="1">
      <alignment vertical="center"/>
    </xf>
    <xf numFmtId="0" fontId="3" fillId="0" borderId="0" xfId="0" applyFont="1" applyBorder="1" applyAlignment="1">
      <alignment horizontal="center" vertical="center"/>
    </xf>
    <xf numFmtId="181" fontId="10" fillId="0" borderId="39" xfId="0" applyNumberFormat="1" applyFont="1" applyBorder="1" applyAlignment="1">
      <alignment vertical="center"/>
    </xf>
    <xf numFmtId="3" fontId="7" fillId="0" borderId="0" xfId="0" applyNumberFormat="1" applyFont="1" applyBorder="1" applyAlignment="1">
      <alignment horizontal="right" vertical="center"/>
    </xf>
    <xf numFmtId="0" fontId="17" fillId="0" borderId="35" xfId="0" applyFont="1" applyBorder="1">
      <alignment vertical="center"/>
    </xf>
    <xf numFmtId="0" fontId="17" fillId="0" borderId="0" xfId="0" applyFont="1" applyBorder="1">
      <alignment vertical="center"/>
    </xf>
    <xf numFmtId="0" fontId="17" fillId="0" borderId="39" xfId="0" applyFont="1" applyBorder="1">
      <alignment vertical="center"/>
    </xf>
    <xf numFmtId="0" fontId="0" fillId="0" borderId="0" xfId="0" applyBorder="1">
      <alignment vertical="center"/>
    </xf>
    <xf numFmtId="0" fontId="0" fillId="0" borderId="40" xfId="0" applyBorder="1">
      <alignment vertical="center"/>
    </xf>
    <xf numFmtId="0" fontId="14" fillId="0" borderId="33" xfId="0" applyFont="1" applyBorder="1">
      <alignment vertical="center"/>
    </xf>
    <xf numFmtId="0" fontId="0" fillId="0" borderId="33" xfId="0" applyBorder="1">
      <alignment vertical="center"/>
    </xf>
    <xf numFmtId="0" fontId="0" fillId="0" borderId="41" xfId="0" applyBorder="1">
      <alignment vertical="center"/>
    </xf>
    <xf numFmtId="0" fontId="22" fillId="0" borderId="0" xfId="0" applyFont="1" applyAlignment="1">
      <alignment horizontal="center" vertical="center"/>
    </xf>
    <xf numFmtId="0" fontId="23" fillId="0" borderId="0" xfId="0" applyFont="1">
      <alignment vertical="center"/>
    </xf>
    <xf numFmtId="182" fontId="10" fillId="5" borderId="34" xfId="0" applyNumberFormat="1" applyFont="1" applyFill="1" applyBorder="1" applyAlignment="1">
      <alignment horizontal="center" vertical="center"/>
    </xf>
    <xf numFmtId="176" fontId="8" fillId="0" borderId="30" xfId="0" applyNumberFormat="1" applyFont="1" applyBorder="1">
      <alignment vertical="center"/>
    </xf>
    <xf numFmtId="0" fontId="10" fillId="5" borderId="29" xfId="0" applyFont="1" applyFill="1" applyBorder="1" applyAlignment="1">
      <alignment horizontal="center" vertical="center"/>
    </xf>
    <xf numFmtId="0" fontId="10" fillId="5" borderId="42" xfId="0" applyFont="1" applyFill="1" applyBorder="1" applyAlignment="1">
      <alignment horizontal="center" vertical="center"/>
    </xf>
    <xf numFmtId="176" fontId="8" fillId="0" borderId="46" xfId="0" applyNumberFormat="1" applyFont="1" applyBorder="1">
      <alignment vertical="center"/>
    </xf>
    <xf numFmtId="0" fontId="10" fillId="5" borderId="11" xfId="0" applyFont="1" applyFill="1" applyBorder="1" applyAlignment="1">
      <alignment horizontal="center" vertical="center"/>
    </xf>
    <xf numFmtId="0" fontId="10" fillId="5" borderId="12" xfId="0" applyFont="1" applyFill="1" applyBorder="1" applyAlignment="1">
      <alignment horizontal="center" vertical="center"/>
    </xf>
    <xf numFmtId="0" fontId="1" fillId="0" borderId="48" xfId="0" applyFont="1" applyBorder="1">
      <alignment vertical="center"/>
    </xf>
    <xf numFmtId="0" fontId="1" fillId="0" borderId="26" xfId="0" applyFont="1" applyBorder="1" applyAlignment="1">
      <alignment horizontal="center" vertical="center"/>
    </xf>
    <xf numFmtId="0" fontId="1" fillId="0" borderId="65" xfId="0" applyFont="1" applyBorder="1">
      <alignment vertical="center"/>
    </xf>
    <xf numFmtId="0" fontId="8" fillId="0" borderId="11" xfId="0" applyFont="1" applyBorder="1" applyAlignment="1">
      <alignment horizontal="center" vertical="center"/>
    </xf>
    <xf numFmtId="0" fontId="8" fillId="0" borderId="26" xfId="0" applyFont="1" applyBorder="1" applyAlignment="1">
      <alignment horizontal="center" vertical="center"/>
    </xf>
    <xf numFmtId="0" fontId="3" fillId="0" borderId="0" xfId="0" applyFont="1" applyAlignment="1">
      <alignment horizontal="center" vertical="center"/>
    </xf>
    <xf numFmtId="0" fontId="8" fillId="0" borderId="32" xfId="0" applyFont="1" applyBorder="1" applyAlignment="1">
      <alignment horizontal="center" vertical="center"/>
    </xf>
    <xf numFmtId="0" fontId="8" fillId="0" borderId="25" xfId="0" applyFont="1" applyBorder="1" applyAlignment="1">
      <alignment horizontal="center" vertical="center"/>
    </xf>
    <xf numFmtId="0" fontId="9" fillId="0" borderId="38" xfId="0" applyFont="1" applyBorder="1" applyAlignment="1">
      <alignment horizontal="center" vertical="center"/>
    </xf>
    <xf numFmtId="179" fontId="10" fillId="0" borderId="66" xfId="0" applyNumberFormat="1" applyFont="1" applyBorder="1">
      <alignment vertical="center"/>
    </xf>
    <xf numFmtId="179" fontId="10" fillId="0" borderId="67" xfId="0" applyNumberFormat="1" applyFont="1" applyBorder="1">
      <alignment vertical="center"/>
    </xf>
    <xf numFmtId="0" fontId="7" fillId="0" borderId="0" xfId="0" applyNumberFormat="1" applyFont="1" applyFill="1" applyBorder="1">
      <alignment vertical="center"/>
    </xf>
    <xf numFmtId="183" fontId="7" fillId="0" borderId="0" xfId="0" applyNumberFormat="1" applyFont="1" applyFill="1" applyBorder="1" applyAlignment="1">
      <alignment horizontal="center" vertical="center"/>
    </xf>
    <xf numFmtId="0" fontId="8" fillId="0" borderId="0" xfId="0" applyFont="1" applyFill="1" applyBorder="1">
      <alignment vertical="center"/>
    </xf>
    <xf numFmtId="183" fontId="8" fillId="0" borderId="0" xfId="0" applyNumberFormat="1" applyFont="1" applyFill="1" applyBorder="1" applyAlignment="1">
      <alignment horizontal="center" vertical="center"/>
    </xf>
    <xf numFmtId="183" fontId="7" fillId="0" borderId="0" xfId="0" applyNumberFormat="1" applyFont="1" applyFill="1" applyBorder="1">
      <alignment vertical="center"/>
    </xf>
    <xf numFmtId="185" fontId="7" fillId="0" borderId="0" xfId="0" applyNumberFormat="1" applyFont="1" applyFill="1" applyBorder="1">
      <alignment vertical="center"/>
    </xf>
    <xf numFmtId="179" fontId="10" fillId="0" borderId="0" xfId="0" applyNumberFormat="1" applyFont="1" applyFill="1" applyBorder="1">
      <alignment vertical="center"/>
    </xf>
    <xf numFmtId="0" fontId="4" fillId="0" borderId="0" xfId="0" applyFont="1" applyBorder="1">
      <alignment vertical="center"/>
    </xf>
    <xf numFmtId="0" fontId="19" fillId="0" borderId="0" xfId="0" applyFont="1">
      <alignment vertical="center"/>
    </xf>
    <xf numFmtId="185" fontId="1" fillId="0" borderId="6" xfId="0" applyNumberFormat="1" applyFont="1" applyBorder="1">
      <alignment vertical="center"/>
    </xf>
    <xf numFmtId="185" fontId="1" fillId="0" borderId="16" xfId="0" applyNumberFormat="1" applyFont="1" applyBorder="1">
      <alignment vertical="center"/>
    </xf>
    <xf numFmtId="0" fontId="28" fillId="0" borderId="11" xfId="0" applyFont="1" applyBorder="1" applyAlignment="1">
      <alignment horizontal="center" vertical="center"/>
    </xf>
    <xf numFmtId="0" fontId="28" fillId="0" borderId="12" xfId="0" applyFont="1" applyBorder="1" applyAlignment="1">
      <alignment horizontal="center" vertical="center"/>
    </xf>
    <xf numFmtId="185" fontId="1" fillId="0" borderId="29" xfId="0" applyNumberFormat="1" applyFont="1" applyBorder="1">
      <alignment vertical="center"/>
    </xf>
    <xf numFmtId="185" fontId="1" fillId="0" borderId="42" xfId="0" applyNumberFormat="1" applyFont="1" applyBorder="1">
      <alignment vertical="center"/>
    </xf>
    <xf numFmtId="0" fontId="19" fillId="0" borderId="14" xfId="0" applyFont="1" applyBorder="1">
      <alignment vertical="center"/>
    </xf>
    <xf numFmtId="0" fontId="19" fillId="0" borderId="15" xfId="0" applyFont="1" applyBorder="1">
      <alignment vertical="center"/>
    </xf>
    <xf numFmtId="0" fontId="19" fillId="0" borderId="32" xfId="0" applyFont="1" applyBorder="1">
      <alignment vertical="center"/>
    </xf>
    <xf numFmtId="185" fontId="1" fillId="0" borderId="30" xfId="0" applyNumberFormat="1" applyFont="1" applyBorder="1">
      <alignment vertical="center"/>
    </xf>
    <xf numFmtId="185" fontId="1" fillId="0" borderId="2" xfId="0" applyNumberFormat="1" applyFont="1" applyBorder="1">
      <alignment vertical="center"/>
    </xf>
    <xf numFmtId="0" fontId="28" fillId="0" borderId="46" xfId="0" applyFont="1" applyBorder="1" applyAlignment="1">
      <alignment horizontal="center" vertical="center"/>
    </xf>
    <xf numFmtId="0" fontId="19" fillId="0" borderId="22" xfId="0" applyFont="1" applyBorder="1">
      <alignment vertical="center"/>
    </xf>
    <xf numFmtId="0" fontId="29" fillId="0" borderId="23" xfId="0" applyFont="1" applyBorder="1">
      <alignment vertical="center"/>
    </xf>
    <xf numFmtId="0" fontId="29" fillId="0" borderId="28" xfId="0" applyFont="1" applyBorder="1">
      <alignment vertical="center"/>
    </xf>
    <xf numFmtId="0" fontId="20" fillId="0" borderId="0" xfId="0" applyFont="1" applyBorder="1">
      <alignment vertical="center"/>
    </xf>
    <xf numFmtId="0" fontId="24" fillId="0" borderId="0" xfId="0" applyFont="1" applyAlignment="1">
      <alignment vertical="center"/>
    </xf>
    <xf numFmtId="0" fontId="20" fillId="0" borderId="35" xfId="0" applyFont="1" applyFill="1" applyBorder="1" applyAlignment="1">
      <alignment vertical="center"/>
    </xf>
    <xf numFmtId="0" fontId="20" fillId="2" borderId="3" xfId="0" applyFont="1" applyFill="1" applyBorder="1" applyAlignment="1">
      <alignment horizontal="right" vertical="center"/>
    </xf>
    <xf numFmtId="0" fontId="20" fillId="2" borderId="4" xfId="0" applyFont="1" applyFill="1" applyBorder="1" applyAlignment="1">
      <alignment vertical="center"/>
    </xf>
    <xf numFmtId="0" fontId="3" fillId="0" borderId="0" xfId="0" applyFont="1" applyAlignment="1">
      <alignment horizontal="center" vertical="center"/>
    </xf>
    <xf numFmtId="0" fontId="8" fillId="0" borderId="22" xfId="0" applyFont="1" applyBorder="1">
      <alignment vertical="center"/>
    </xf>
    <xf numFmtId="184" fontId="7" fillId="2" borderId="7" xfId="0" applyNumberFormat="1" applyFont="1" applyFill="1" applyBorder="1">
      <alignment vertical="center"/>
    </xf>
    <xf numFmtId="0" fontId="7" fillId="0" borderId="19" xfId="0" applyNumberFormat="1" applyFont="1" applyFill="1" applyBorder="1">
      <alignment vertical="center"/>
    </xf>
    <xf numFmtId="184" fontId="8" fillId="0" borderId="8" xfId="0" applyNumberFormat="1" applyFont="1" applyFill="1" applyBorder="1" applyAlignment="1">
      <alignment horizontal="center" vertical="center"/>
    </xf>
    <xf numFmtId="185" fontId="7" fillId="2" borderId="8" xfId="0" applyNumberFormat="1" applyFont="1" applyFill="1" applyBorder="1">
      <alignment vertical="center"/>
    </xf>
    <xf numFmtId="183" fontId="8" fillId="0" borderId="19" xfId="0" applyNumberFormat="1" applyFont="1" applyFill="1" applyBorder="1" applyAlignment="1">
      <alignment horizontal="center" vertical="center"/>
    </xf>
    <xf numFmtId="0" fontId="7" fillId="0" borderId="8" xfId="0" applyNumberFormat="1" applyFont="1" applyFill="1" applyBorder="1">
      <alignment vertical="center"/>
    </xf>
    <xf numFmtId="181" fontId="9" fillId="0" borderId="22" xfId="0" applyNumberFormat="1" applyFont="1" applyBorder="1">
      <alignment vertical="center"/>
    </xf>
    <xf numFmtId="183" fontId="7" fillId="2" borderId="46" xfId="0" applyNumberFormat="1" applyFont="1" applyFill="1" applyBorder="1">
      <alignment vertical="center"/>
    </xf>
    <xf numFmtId="183" fontId="7" fillId="2" borderId="27" xfId="0" applyNumberFormat="1" applyFont="1" applyFill="1" applyBorder="1">
      <alignment vertical="center"/>
    </xf>
    <xf numFmtId="0" fontId="6" fillId="0" borderId="47" xfId="0" applyFont="1" applyBorder="1">
      <alignment vertical="center"/>
    </xf>
    <xf numFmtId="183" fontId="7" fillId="2" borderId="29" xfId="0" applyNumberFormat="1" applyFont="1" applyFill="1" applyBorder="1">
      <alignment vertical="center"/>
    </xf>
    <xf numFmtId="179" fontId="10" fillId="0" borderId="76" xfId="0" applyNumberFormat="1" applyFont="1" applyBorder="1">
      <alignment vertical="center"/>
    </xf>
    <xf numFmtId="183" fontId="7" fillId="2" borderId="8" xfId="0" applyNumberFormat="1" applyFont="1" applyFill="1" applyBorder="1">
      <alignment vertical="center"/>
    </xf>
    <xf numFmtId="179" fontId="10" fillId="0" borderId="81" xfId="0" applyNumberFormat="1" applyFont="1" applyBorder="1">
      <alignment vertical="center"/>
    </xf>
    <xf numFmtId="0" fontId="9" fillId="0" borderId="10" xfId="0" applyFont="1" applyBorder="1" applyAlignment="1">
      <alignment vertical="center" wrapText="1"/>
    </xf>
    <xf numFmtId="0" fontId="8" fillId="0" borderId="32" xfId="0" applyFont="1" applyBorder="1" applyAlignment="1">
      <alignment horizontal="center" vertical="center"/>
    </xf>
    <xf numFmtId="0" fontId="8" fillId="0" borderId="26" xfId="0" applyFont="1" applyBorder="1" applyAlignment="1">
      <alignment horizontal="center" vertical="center"/>
    </xf>
    <xf numFmtId="0" fontId="8" fillId="0" borderId="20" xfId="0" applyFont="1" applyBorder="1" applyAlignment="1">
      <alignment horizontal="center" vertical="center"/>
    </xf>
    <xf numFmtId="0" fontId="8" fillId="0" borderId="11" xfId="0" applyFont="1" applyBorder="1" applyAlignment="1">
      <alignment horizontal="center" vertical="center"/>
    </xf>
    <xf numFmtId="0" fontId="8" fillId="0" borderId="25" xfId="0" applyFont="1" applyBorder="1" applyAlignment="1">
      <alignment horizontal="center" vertical="center"/>
    </xf>
    <xf numFmtId="0" fontId="8" fillId="0" borderId="0" xfId="0" applyFont="1" applyBorder="1">
      <alignment vertical="center"/>
    </xf>
    <xf numFmtId="181" fontId="10" fillId="0" borderId="3" xfId="0" applyNumberFormat="1" applyFont="1" applyBorder="1" applyAlignment="1">
      <alignment vertical="center"/>
    </xf>
    <xf numFmtId="181" fontId="10" fillId="0" borderId="5" xfId="0" applyNumberFormat="1" applyFont="1" applyBorder="1" applyAlignment="1">
      <alignment vertical="center"/>
    </xf>
    <xf numFmtId="0" fontId="16" fillId="0" borderId="0" xfId="0" applyFont="1" applyFill="1" applyBorder="1" applyAlignment="1">
      <alignment vertical="center"/>
    </xf>
    <xf numFmtId="0" fontId="8" fillId="0" borderId="26" xfId="0" applyFont="1" applyBorder="1" applyAlignment="1">
      <alignment vertical="center" shrinkToFit="1"/>
    </xf>
    <xf numFmtId="184" fontId="7" fillId="2" borderId="43" xfId="0" applyNumberFormat="1" applyFont="1" applyFill="1" applyBorder="1">
      <alignment vertical="center"/>
    </xf>
    <xf numFmtId="184" fontId="7" fillId="2" borderId="25" xfId="0" applyNumberFormat="1" applyFont="1" applyFill="1" applyBorder="1">
      <alignment vertical="center"/>
    </xf>
    <xf numFmtId="184" fontId="7" fillId="2" borderId="69" xfId="0" applyNumberFormat="1" applyFont="1" applyFill="1" applyBorder="1">
      <alignment vertical="center"/>
    </xf>
    <xf numFmtId="184" fontId="7" fillId="2" borderId="51" xfId="0" applyNumberFormat="1" applyFont="1" applyFill="1" applyBorder="1">
      <alignment vertical="center"/>
    </xf>
    <xf numFmtId="184" fontId="7" fillId="0" borderId="26" xfId="0" applyNumberFormat="1" applyFont="1" applyBorder="1" applyAlignment="1">
      <alignment horizontal="center" vertical="center"/>
    </xf>
    <xf numFmtId="183" fontId="7" fillId="0" borderId="26" xfId="0" applyNumberFormat="1" applyFont="1" applyBorder="1" applyAlignment="1">
      <alignment horizontal="center" vertical="center"/>
    </xf>
    <xf numFmtId="0" fontId="8" fillId="0" borderId="47" xfId="0" applyFont="1" applyBorder="1" applyAlignment="1">
      <alignment vertical="center" shrinkToFit="1"/>
    </xf>
    <xf numFmtId="184" fontId="7" fillId="2" borderId="30" xfId="0" applyNumberFormat="1" applyFont="1" applyFill="1" applyBorder="1">
      <alignment vertical="center"/>
    </xf>
    <xf numFmtId="184" fontId="7" fillId="2" borderId="29" xfId="0" applyNumberFormat="1" applyFont="1" applyFill="1" applyBorder="1">
      <alignment vertical="center"/>
    </xf>
    <xf numFmtId="184" fontId="7" fillId="2" borderId="55" xfId="0" applyNumberFormat="1" applyFont="1" applyFill="1" applyBorder="1">
      <alignment vertical="center"/>
    </xf>
    <xf numFmtId="184" fontId="7" fillId="2" borderId="42" xfId="0" applyNumberFormat="1" applyFont="1" applyFill="1" applyBorder="1">
      <alignment vertical="center"/>
    </xf>
    <xf numFmtId="184" fontId="7" fillId="0" borderId="47" xfId="0" applyNumberFormat="1" applyFont="1" applyBorder="1" applyAlignment="1">
      <alignment horizontal="center" vertical="center"/>
    </xf>
    <xf numFmtId="183" fontId="7" fillId="0" borderId="47" xfId="0" applyNumberFormat="1" applyFont="1" applyBorder="1" applyAlignment="1">
      <alignment horizontal="center" vertical="center"/>
    </xf>
    <xf numFmtId="0" fontId="8" fillId="0" borderId="23" xfId="0" applyFont="1" applyBorder="1" applyAlignment="1">
      <alignment horizontal="left" vertical="center" shrinkToFit="1"/>
    </xf>
    <xf numFmtId="183" fontId="8" fillId="0" borderId="82" xfId="0" applyNumberFormat="1" applyFont="1" applyBorder="1" applyAlignment="1">
      <alignment horizontal="center" vertical="center"/>
    </xf>
    <xf numFmtId="183" fontId="8" fillId="0" borderId="83" xfId="0" applyNumberFormat="1" applyFont="1" applyBorder="1" applyAlignment="1">
      <alignment horizontal="center" vertical="center"/>
    </xf>
    <xf numFmtId="183" fontId="8" fillId="0" borderId="84" xfId="0" applyNumberFormat="1" applyFont="1" applyBorder="1" applyAlignment="1">
      <alignment horizontal="center" vertical="center"/>
    </xf>
    <xf numFmtId="183" fontId="8" fillId="0" borderId="85" xfId="0" applyNumberFormat="1" applyFont="1" applyBorder="1" applyAlignment="1">
      <alignment horizontal="center" vertical="center"/>
    </xf>
    <xf numFmtId="183" fontId="7" fillId="2" borderId="23" xfId="0" applyNumberFormat="1" applyFont="1" applyFill="1" applyBorder="1" applyAlignment="1">
      <alignment horizontal="center" vertical="center"/>
    </xf>
    <xf numFmtId="0" fontId="18" fillId="6" borderId="13" xfId="0" applyFont="1" applyFill="1" applyBorder="1" applyAlignment="1">
      <alignment horizontal="center" vertical="center" wrapText="1"/>
    </xf>
    <xf numFmtId="0" fontId="18" fillId="6" borderId="14" xfId="0" applyFont="1" applyFill="1" applyBorder="1" applyAlignment="1">
      <alignment horizontal="center" vertical="center" wrapText="1"/>
    </xf>
    <xf numFmtId="0" fontId="18" fillId="6" borderId="15" xfId="0" applyFont="1" applyFill="1" applyBorder="1" applyAlignment="1">
      <alignment horizontal="center" vertical="center" wrapText="1"/>
    </xf>
    <xf numFmtId="0" fontId="16" fillId="0" borderId="0" xfId="0" applyFont="1" applyFill="1" applyBorder="1" applyAlignment="1">
      <alignment horizontal="center" vertical="center"/>
    </xf>
    <xf numFmtId="176" fontId="8" fillId="0" borderId="25" xfId="0" applyNumberFormat="1" applyFont="1" applyBorder="1" applyAlignment="1">
      <alignment horizontal="center" vertical="center"/>
    </xf>
    <xf numFmtId="176" fontId="8" fillId="0" borderId="50" xfId="0" applyNumberFormat="1" applyFont="1" applyBorder="1" applyAlignment="1">
      <alignment horizontal="center" vertical="center"/>
    </xf>
    <xf numFmtId="0" fontId="16" fillId="3" borderId="3" xfId="0" applyFont="1" applyFill="1" applyBorder="1" applyAlignment="1">
      <alignment horizontal="center" vertical="center" wrapText="1"/>
    </xf>
    <xf numFmtId="0" fontId="16" fillId="3" borderId="34"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6" fillId="3" borderId="3" xfId="0" applyFont="1" applyFill="1" applyBorder="1" applyAlignment="1">
      <alignment horizontal="center" vertical="center"/>
    </xf>
    <xf numFmtId="0" fontId="16" fillId="3" borderId="5" xfId="0" applyFont="1" applyFill="1" applyBorder="1" applyAlignment="1">
      <alignment horizontal="center" vertical="center"/>
    </xf>
    <xf numFmtId="0" fontId="16" fillId="3" borderId="34" xfId="0" applyFont="1" applyFill="1" applyBorder="1" applyAlignment="1">
      <alignment horizontal="center" vertical="center"/>
    </xf>
    <xf numFmtId="0" fontId="8" fillId="0" borderId="22" xfId="0" applyFont="1" applyBorder="1" applyAlignment="1">
      <alignment horizontal="center" vertical="center"/>
    </xf>
    <xf numFmtId="0" fontId="8" fillId="0" borderId="28" xfId="0" applyFont="1" applyBorder="1" applyAlignment="1">
      <alignment horizontal="center" vertical="center"/>
    </xf>
    <xf numFmtId="0" fontId="8" fillId="0" borderId="43" xfId="0" applyFont="1" applyBorder="1" applyAlignment="1">
      <alignment horizontal="center" vertical="center"/>
    </xf>
    <xf numFmtId="0" fontId="8" fillId="0" borderId="44" xfId="0" applyFont="1" applyBorder="1" applyAlignment="1">
      <alignment horizontal="center" vertical="center"/>
    </xf>
    <xf numFmtId="0" fontId="8" fillId="0" borderId="19" xfId="0" applyFont="1" applyBorder="1" applyAlignment="1">
      <alignment horizontal="center" vertical="center"/>
    </xf>
    <xf numFmtId="0" fontId="8" fillId="0" borderId="49" xfId="0" applyFont="1" applyBorder="1" applyAlignment="1">
      <alignment horizontal="center" vertical="center"/>
    </xf>
    <xf numFmtId="0" fontId="8" fillId="0" borderId="45" xfId="0" applyFont="1" applyBorder="1" applyAlignment="1">
      <alignment horizontal="center" vertical="center" wrapText="1"/>
    </xf>
    <xf numFmtId="0" fontId="8" fillId="0" borderId="11" xfId="0" applyFont="1" applyBorder="1" applyAlignment="1">
      <alignment horizontal="center" vertical="center"/>
    </xf>
    <xf numFmtId="0" fontId="8" fillId="0" borderId="25" xfId="0" applyFont="1" applyBorder="1" applyAlignment="1">
      <alignment horizontal="center" vertical="center"/>
    </xf>
    <xf numFmtId="0" fontId="8" fillId="0" borderId="50" xfId="0" applyFont="1" applyBorder="1" applyAlignment="1">
      <alignment horizontal="center" vertical="center"/>
    </xf>
    <xf numFmtId="0" fontId="8" fillId="0" borderId="45" xfId="0" applyFont="1" applyBorder="1" applyAlignment="1">
      <alignment horizontal="center" vertical="center"/>
    </xf>
    <xf numFmtId="0" fontId="12" fillId="0" borderId="51" xfId="0" applyFont="1" applyBorder="1" applyAlignment="1">
      <alignment horizontal="center" vertical="center"/>
    </xf>
    <xf numFmtId="0" fontId="12" fillId="0" borderId="52" xfId="0" applyFont="1" applyBorder="1" applyAlignment="1">
      <alignment horizontal="center" vertical="center"/>
    </xf>
    <xf numFmtId="0" fontId="1" fillId="0" borderId="70" xfId="0" applyFont="1" applyBorder="1" applyAlignment="1">
      <alignment horizontal="center" vertical="center"/>
    </xf>
    <xf numFmtId="0" fontId="1" fillId="0" borderId="68" xfId="0" applyFont="1" applyBorder="1" applyAlignment="1">
      <alignment horizontal="center" vertical="center"/>
    </xf>
    <xf numFmtId="0" fontId="1" fillId="0" borderId="71" xfId="0" applyFont="1" applyBorder="1" applyAlignment="1">
      <alignment horizontal="center" vertical="center"/>
    </xf>
    <xf numFmtId="0" fontId="8" fillId="0" borderId="26" xfId="0" applyFont="1" applyBorder="1" applyAlignment="1">
      <alignment horizontal="center" vertical="center"/>
    </xf>
    <xf numFmtId="0" fontId="8" fillId="0" borderId="48" xfId="0" applyFont="1" applyBorder="1" applyAlignment="1">
      <alignment horizontal="center" vertical="center"/>
    </xf>
    <xf numFmtId="0" fontId="8" fillId="0" borderId="31" xfId="0" applyFont="1" applyBorder="1" applyAlignment="1">
      <alignment horizontal="center" vertical="center"/>
    </xf>
    <xf numFmtId="0" fontId="8" fillId="0" borderId="51" xfId="0" applyFont="1" applyBorder="1" applyAlignment="1">
      <alignment horizontal="center" vertical="center" wrapText="1"/>
    </xf>
    <xf numFmtId="0" fontId="8" fillId="0" borderId="5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4" xfId="0" applyFont="1" applyBorder="1" applyAlignment="1">
      <alignment horizontal="center" vertical="center"/>
    </xf>
    <xf numFmtId="0" fontId="8" fillId="0" borderId="26" xfId="0" applyFont="1" applyBorder="1" applyAlignment="1">
      <alignment horizontal="center" vertical="center" wrapText="1"/>
    </xf>
    <xf numFmtId="0" fontId="8" fillId="0" borderId="65" xfId="0" applyFont="1" applyBorder="1" applyAlignment="1">
      <alignment horizontal="center" vertical="center" wrapText="1"/>
    </xf>
    <xf numFmtId="183" fontId="8" fillId="0" borderId="72" xfId="0" applyNumberFormat="1" applyFont="1" applyBorder="1" applyAlignment="1">
      <alignment horizontal="center" vertical="center"/>
    </xf>
    <xf numFmtId="183" fontId="8" fillId="0" borderId="73" xfId="0" applyNumberFormat="1" applyFont="1" applyBorder="1" applyAlignment="1">
      <alignment horizontal="center" vertical="center"/>
    </xf>
    <xf numFmtId="183" fontId="8" fillId="0" borderId="74" xfId="0" applyNumberFormat="1" applyFont="1" applyBorder="1" applyAlignment="1">
      <alignment horizontal="center" vertical="center"/>
    </xf>
    <xf numFmtId="183" fontId="7" fillId="0" borderId="75" xfId="0" applyNumberFormat="1" applyFont="1" applyFill="1" applyBorder="1" applyAlignment="1">
      <alignment horizontal="center" vertical="center"/>
    </xf>
    <xf numFmtId="183" fontId="7" fillId="0" borderId="73" xfId="0" applyNumberFormat="1" applyFont="1" applyFill="1" applyBorder="1" applyAlignment="1">
      <alignment horizontal="center" vertical="center"/>
    </xf>
    <xf numFmtId="3" fontId="8" fillId="0" borderId="21" xfId="0" applyNumberFormat="1" applyFont="1" applyBorder="1" applyAlignment="1">
      <alignment horizontal="center" vertical="center"/>
    </xf>
    <xf numFmtId="3" fontId="8" fillId="0" borderId="32" xfId="0" applyNumberFormat="1" applyFont="1" applyBorder="1" applyAlignment="1">
      <alignment horizontal="center" vertical="center"/>
    </xf>
    <xf numFmtId="3" fontId="8" fillId="0" borderId="34" xfId="0" applyNumberFormat="1" applyFont="1" applyBorder="1" applyAlignment="1">
      <alignment horizontal="center" vertical="center"/>
    </xf>
    <xf numFmtId="177" fontId="14" fillId="0" borderId="60" xfId="0" applyNumberFormat="1" applyFont="1" applyBorder="1" applyAlignment="1">
      <alignment horizontal="center" vertical="center"/>
    </xf>
    <xf numFmtId="0" fontId="21" fillId="7" borderId="3" xfId="0" applyFont="1" applyFill="1" applyBorder="1" applyAlignment="1">
      <alignment horizontal="center" vertical="center"/>
    </xf>
    <xf numFmtId="0" fontId="21" fillId="7" borderId="5" xfId="0" applyFont="1" applyFill="1" applyBorder="1" applyAlignment="1">
      <alignment horizontal="center" vertical="center"/>
    </xf>
    <xf numFmtId="0" fontId="21" fillId="7" borderId="34" xfId="0" applyFont="1" applyFill="1" applyBorder="1" applyAlignment="1">
      <alignment horizontal="center" vertical="center"/>
    </xf>
    <xf numFmtId="0" fontId="18" fillId="6" borderId="3" xfId="0" applyFont="1" applyFill="1" applyBorder="1" applyAlignment="1">
      <alignment horizontal="center" vertical="center" wrapText="1"/>
    </xf>
    <xf numFmtId="0" fontId="18" fillId="6" borderId="5" xfId="0" applyFont="1" applyFill="1" applyBorder="1" applyAlignment="1">
      <alignment horizontal="center" vertical="center" wrapText="1"/>
    </xf>
    <xf numFmtId="0" fontId="18" fillId="6" borderId="34" xfId="0" applyFont="1" applyFill="1" applyBorder="1" applyAlignment="1">
      <alignment horizontal="center" vertical="center" wrapText="1"/>
    </xf>
    <xf numFmtId="0" fontId="6" fillId="0" borderId="36" xfId="0" applyFont="1" applyBorder="1" applyAlignment="1">
      <alignment horizontal="center" vertical="center"/>
    </xf>
    <xf numFmtId="0" fontId="6" fillId="0" borderId="43" xfId="0" applyFont="1" applyBorder="1" applyAlignment="1">
      <alignment horizontal="center" vertical="center"/>
    </xf>
    <xf numFmtId="0" fontId="8" fillId="0" borderId="69" xfId="0" applyFont="1" applyBorder="1" applyAlignment="1">
      <alignment horizontal="center" vertical="center"/>
    </xf>
    <xf numFmtId="0" fontId="8" fillId="0" borderId="37" xfId="0" applyFont="1" applyBorder="1" applyAlignment="1">
      <alignment horizontal="center" vertical="center"/>
    </xf>
    <xf numFmtId="183" fontId="8" fillId="0" borderId="77" xfId="0" applyNumberFormat="1" applyFont="1" applyBorder="1" applyAlignment="1">
      <alignment horizontal="center" vertical="center"/>
    </xf>
    <xf numFmtId="183" fontId="8" fillId="0" borderId="78" xfId="0" applyNumberFormat="1" applyFont="1" applyBorder="1" applyAlignment="1">
      <alignment horizontal="center" vertical="center"/>
    </xf>
    <xf numFmtId="183" fontId="8" fillId="0" borderId="79" xfId="0" applyNumberFormat="1" applyFont="1" applyBorder="1" applyAlignment="1">
      <alignment horizontal="center" vertical="center"/>
    </xf>
    <xf numFmtId="183" fontId="7" fillId="0" borderId="80" xfId="0" applyNumberFormat="1" applyFont="1" applyFill="1" applyBorder="1" applyAlignment="1">
      <alignment horizontal="center" vertical="center"/>
    </xf>
    <xf numFmtId="183" fontId="7" fillId="0" borderId="78" xfId="0" applyNumberFormat="1" applyFont="1" applyFill="1" applyBorder="1" applyAlignment="1">
      <alignment horizontal="center" vertical="center"/>
    </xf>
    <xf numFmtId="0" fontId="8" fillId="0" borderId="3" xfId="0" applyFont="1" applyBorder="1" applyAlignment="1">
      <alignment horizontal="center" vertical="center"/>
    </xf>
    <xf numFmtId="0" fontId="8" fillId="0" borderId="32" xfId="0" applyFont="1" applyBorder="1" applyAlignment="1">
      <alignment horizontal="center" vertical="center"/>
    </xf>
    <xf numFmtId="0" fontId="8" fillId="0" borderId="21" xfId="0" applyFont="1" applyBorder="1" applyAlignment="1">
      <alignment horizontal="center" vertical="center"/>
    </xf>
    <xf numFmtId="0" fontId="8" fillId="0" borderId="34" xfId="0" applyFont="1" applyBorder="1" applyAlignment="1">
      <alignment horizontal="center" vertical="center"/>
    </xf>
    <xf numFmtId="0" fontId="1" fillId="0" borderId="0" xfId="0" applyFont="1" applyAlignment="1">
      <alignment horizontal="left" vertical="center" wrapText="1"/>
    </xf>
    <xf numFmtId="0" fontId="1" fillId="0" borderId="33" xfId="0" applyFont="1" applyBorder="1" applyAlignment="1">
      <alignment horizontal="left" vertical="center" wrapText="1"/>
    </xf>
    <xf numFmtId="0" fontId="21" fillId="7" borderId="62" xfId="0" applyFont="1" applyFill="1" applyBorder="1" applyAlignment="1">
      <alignment horizontal="center" vertical="center"/>
    </xf>
    <xf numFmtId="0" fontId="21" fillId="7" borderId="63" xfId="0" applyFont="1" applyFill="1" applyBorder="1" applyAlignment="1">
      <alignment horizontal="center" vertical="center"/>
    </xf>
    <xf numFmtId="0" fontId="21" fillId="7" borderId="64" xfId="0" applyFont="1" applyFill="1" applyBorder="1" applyAlignment="1">
      <alignment horizontal="center" vertical="center"/>
    </xf>
    <xf numFmtId="0" fontId="31" fillId="0" borderId="0" xfId="0" applyFont="1" applyAlignment="1">
      <alignment horizontal="center" vertical="center"/>
    </xf>
    <xf numFmtId="0" fontId="25" fillId="0" borderId="35" xfId="0" applyFont="1" applyBorder="1" applyAlignment="1">
      <alignment horizontal="left" vertical="center" wrapText="1"/>
    </xf>
    <xf numFmtId="0" fontId="25" fillId="0" borderId="0" xfId="0" applyFont="1" applyBorder="1" applyAlignment="1">
      <alignment horizontal="left" vertical="center" wrapText="1"/>
    </xf>
    <xf numFmtId="0" fontId="25" fillId="0" borderId="39" xfId="0" applyFont="1" applyBorder="1" applyAlignment="1">
      <alignment horizontal="left" vertical="center" wrapText="1"/>
    </xf>
    <xf numFmtId="0" fontId="25" fillId="0" borderId="40" xfId="0" applyFont="1" applyBorder="1" applyAlignment="1">
      <alignment horizontal="left" vertical="center" wrapText="1"/>
    </xf>
    <xf numFmtId="0" fontId="25" fillId="0" borderId="33" xfId="0" applyFont="1" applyBorder="1" applyAlignment="1">
      <alignment horizontal="left" vertical="center" wrapText="1"/>
    </xf>
    <xf numFmtId="0" fontId="25" fillId="0" borderId="41" xfId="0" applyFont="1" applyBorder="1" applyAlignment="1">
      <alignment horizontal="left" vertical="center" wrapText="1"/>
    </xf>
    <xf numFmtId="0" fontId="27" fillId="0" borderId="35" xfId="0" applyFont="1" applyBorder="1" applyAlignment="1">
      <alignment horizontal="left" vertical="center" wrapText="1"/>
    </xf>
  </cellXfs>
  <cellStyles count="1">
    <cellStyle name="標準" xfId="0" builtinId="0"/>
  </cellStyles>
  <dxfs count="32">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ont>
        <strike/>
      </font>
      <fill>
        <patternFill>
          <bgColor theme="1" tint="0.24994659260841701"/>
        </patternFill>
      </fill>
      <border>
        <vertical/>
        <horizontal/>
      </border>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ont>
        <strike/>
      </font>
      <fill>
        <patternFill>
          <bgColor theme="1" tint="0.24994659260841701"/>
        </patternFill>
      </fill>
      <border>
        <vertical/>
        <horizontal/>
      </border>
    </dxf>
    <dxf>
      <fill>
        <patternFill>
          <bgColor theme="1" tint="0.24994659260841701"/>
        </patternFill>
      </fill>
    </dxf>
  </dxfs>
  <tableStyles count="0" defaultTableStyle="TableStyleMedium2" defaultPivotStyle="PivotStyleLight16"/>
  <colors>
    <mruColors>
      <color rgb="FFECF9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xdr:col>
      <xdr:colOff>139564</xdr:colOff>
      <xdr:row>13</xdr:row>
      <xdr:rowOff>121228</xdr:rowOff>
    </xdr:from>
    <xdr:to>
      <xdr:col>10</xdr:col>
      <xdr:colOff>1264227</xdr:colOff>
      <xdr:row>13</xdr:row>
      <xdr:rowOff>159940</xdr:rowOff>
    </xdr:to>
    <xdr:cxnSp macro="">
      <xdr:nvCxnSpPr>
        <xdr:cNvPr id="3" name="直線矢印コネクタ 2">
          <a:extLst>
            <a:ext uri="{FF2B5EF4-FFF2-40B4-BE49-F238E27FC236}">
              <a16:creationId xmlns:a16="http://schemas.microsoft.com/office/drawing/2014/main" id="{05A26CDE-9088-46A4-B065-BD26AD6EFCF2}"/>
            </a:ext>
          </a:extLst>
        </xdr:cNvPr>
        <xdr:cNvCxnSpPr/>
      </xdr:nvCxnSpPr>
      <xdr:spPr>
        <a:xfrm flipV="1">
          <a:off x="5654539" y="6998278"/>
          <a:ext cx="10440113" cy="38712"/>
        </a:xfrm>
        <a:prstGeom prst="straightConnector1">
          <a:avLst/>
        </a:prstGeom>
        <a:ln w="57150">
          <a:solidFill>
            <a:srgbClr val="0070C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889596</xdr:colOff>
      <xdr:row>12</xdr:row>
      <xdr:rowOff>300625</xdr:rowOff>
    </xdr:from>
    <xdr:to>
      <xdr:col>7</xdr:col>
      <xdr:colOff>1160320</xdr:colOff>
      <xdr:row>14</xdr:row>
      <xdr:rowOff>69273</xdr:rowOff>
    </xdr:to>
    <xdr:sp macro="" textlink="">
      <xdr:nvSpPr>
        <xdr:cNvPr id="4" name="正方形/長方形 3">
          <a:extLst>
            <a:ext uri="{FF2B5EF4-FFF2-40B4-BE49-F238E27FC236}">
              <a16:creationId xmlns:a16="http://schemas.microsoft.com/office/drawing/2014/main" id="{88F9CA0D-969D-492D-9DC4-41B353148CBB}"/>
            </a:ext>
          </a:extLst>
        </xdr:cNvPr>
        <xdr:cNvSpPr/>
      </xdr:nvSpPr>
      <xdr:spPr>
        <a:xfrm>
          <a:off x="9509721" y="6634750"/>
          <a:ext cx="1823299" cy="768773"/>
        </a:xfrm>
        <a:prstGeom prst="rect">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ja-JP" sz="1000" b="1">
              <a:solidFill>
                <a:sysClr val="windowText" lastClr="000000"/>
              </a:solidFill>
              <a:effectLst/>
              <a:latin typeface="Meiryo UI" panose="020B0604030504040204" pitchFamily="50" charset="-128"/>
              <a:ea typeface="Meiryo UI" panose="020B0604030504040204" pitchFamily="50" charset="-128"/>
              <a:cs typeface="+mn-cs"/>
            </a:rPr>
            <a:t>自動算出</a:t>
          </a:r>
          <a:endParaRPr lang="ja-JP" altLang="ja-JP" sz="1000">
            <a:solidFill>
              <a:sysClr val="windowText" lastClr="000000"/>
            </a:solidFill>
            <a:effectLst/>
            <a:latin typeface="Meiryo UI" panose="020B0604030504040204" pitchFamily="50" charset="-128"/>
            <a:ea typeface="Meiryo UI" panose="020B0604030504040204" pitchFamily="50" charset="-128"/>
          </a:endParaRPr>
        </a:p>
        <a:p>
          <a:pPr algn="ctr"/>
          <a:r>
            <a:rPr kumimoji="1" lang="en-US" altLang="ja-JP" sz="1000" b="1">
              <a:solidFill>
                <a:sysClr val="windowText" lastClr="000000"/>
              </a:solidFill>
              <a:effectLst/>
              <a:latin typeface="Meiryo UI" panose="020B0604030504040204" pitchFamily="50" charset="-128"/>
              <a:ea typeface="Meiryo UI" panose="020B0604030504040204" pitchFamily="50" charset="-128"/>
              <a:cs typeface="+mn-cs"/>
            </a:rPr>
            <a:t>&lt;</a:t>
          </a:r>
          <a:r>
            <a:rPr kumimoji="1" lang="ja-JP" altLang="ja-JP" sz="1000" b="1">
              <a:solidFill>
                <a:sysClr val="windowText" lastClr="000000"/>
              </a:solidFill>
              <a:effectLst/>
              <a:latin typeface="Meiryo UI" panose="020B0604030504040204" pitchFamily="50" charset="-128"/>
              <a:ea typeface="Meiryo UI" panose="020B0604030504040204" pitchFamily="50" charset="-128"/>
              <a:cs typeface="+mn-cs"/>
            </a:rPr>
            <a:t>避難者数</a:t>
          </a:r>
          <a:r>
            <a:rPr kumimoji="1" lang="en-US" altLang="ja-JP" sz="1000" b="1">
              <a:solidFill>
                <a:sysClr val="windowText" lastClr="000000"/>
              </a:solidFill>
              <a:effectLst/>
              <a:latin typeface="Meiryo UI" panose="020B0604030504040204" pitchFamily="50" charset="-128"/>
              <a:ea typeface="Meiryo UI" panose="020B0604030504040204" pitchFamily="50" charset="-128"/>
              <a:cs typeface="+mn-cs"/>
            </a:rPr>
            <a:t>×5</a:t>
          </a:r>
          <a:r>
            <a:rPr kumimoji="1" lang="ja-JP" altLang="ja-JP" sz="1000" b="1">
              <a:solidFill>
                <a:sysClr val="windowText" lastClr="000000"/>
              </a:solidFill>
              <a:effectLst/>
              <a:latin typeface="Meiryo UI" panose="020B0604030504040204" pitchFamily="50" charset="-128"/>
              <a:ea typeface="Meiryo UI" panose="020B0604030504040204" pitchFamily="50" charset="-128"/>
              <a:cs typeface="+mn-cs"/>
            </a:rPr>
            <a:t>回</a:t>
          </a:r>
          <a:r>
            <a:rPr kumimoji="1" lang="en-US" altLang="ja-JP" sz="1000" b="1">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ja-JP" sz="1000" b="1">
              <a:solidFill>
                <a:sysClr val="windowText" lastClr="000000"/>
              </a:solidFill>
              <a:effectLst/>
              <a:latin typeface="Meiryo UI" panose="020B0604030504040204" pitchFamily="50" charset="-128"/>
              <a:ea typeface="Meiryo UI" panose="020B0604030504040204" pitchFamily="50" charset="-128"/>
              <a:cs typeface="+mn-cs"/>
            </a:rPr>
            <a:t>日</a:t>
          </a:r>
          <a:r>
            <a:rPr kumimoji="1" lang="en-US" altLang="ja-JP" sz="1000" b="1">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ja-JP" sz="1000" b="1">
              <a:solidFill>
                <a:sysClr val="windowText" lastClr="000000"/>
              </a:solidFill>
              <a:effectLst/>
              <a:latin typeface="Meiryo UI" panose="020B0604030504040204" pitchFamily="50" charset="-128"/>
              <a:ea typeface="Meiryo UI" panose="020B0604030504040204" pitchFamily="50" charset="-128"/>
              <a:cs typeface="+mn-cs"/>
            </a:rPr>
            <a:t>日数</a:t>
          </a:r>
          <a:r>
            <a:rPr kumimoji="1" lang="en-US" altLang="ja-JP" sz="1000" b="1">
              <a:solidFill>
                <a:sysClr val="windowText" lastClr="000000"/>
              </a:solidFill>
              <a:effectLst/>
              <a:latin typeface="Meiryo UI" panose="020B0604030504040204" pitchFamily="50" charset="-128"/>
              <a:ea typeface="Meiryo UI" panose="020B0604030504040204" pitchFamily="50" charset="-128"/>
              <a:cs typeface="+mn-cs"/>
            </a:rPr>
            <a:t>&gt;</a:t>
          </a:r>
          <a:endParaRPr lang="ja-JP" altLang="ja-JP" sz="1000">
            <a:solidFill>
              <a:sysClr val="windowText" lastClr="000000"/>
            </a:solidFill>
            <a:effectLst/>
            <a:latin typeface="Meiryo UI" panose="020B0604030504040204" pitchFamily="50" charset="-128"/>
            <a:ea typeface="Meiryo UI" panose="020B0604030504040204" pitchFamily="50" charset="-128"/>
          </a:endParaRPr>
        </a:p>
      </xdr:txBody>
    </xdr:sp>
    <xdr:clientData/>
  </xdr:twoCellAnchor>
  <xdr:twoCellAnchor>
    <xdr:from>
      <xdr:col>10</xdr:col>
      <xdr:colOff>51955</xdr:colOff>
      <xdr:row>16</xdr:row>
      <xdr:rowOff>382506</xdr:rowOff>
    </xdr:from>
    <xdr:to>
      <xdr:col>11</xdr:col>
      <xdr:colOff>0</xdr:colOff>
      <xdr:row>16</xdr:row>
      <xdr:rowOff>382507</xdr:rowOff>
    </xdr:to>
    <xdr:cxnSp macro="">
      <xdr:nvCxnSpPr>
        <xdr:cNvPr id="5" name="直線矢印コネクタ 4">
          <a:extLst>
            <a:ext uri="{FF2B5EF4-FFF2-40B4-BE49-F238E27FC236}">
              <a16:creationId xmlns:a16="http://schemas.microsoft.com/office/drawing/2014/main" id="{7CE0C33C-CA5C-488F-BA3C-5E18EA152481}"/>
            </a:ext>
          </a:extLst>
        </xdr:cNvPr>
        <xdr:cNvCxnSpPr/>
      </xdr:nvCxnSpPr>
      <xdr:spPr>
        <a:xfrm flipV="1">
          <a:off x="14882380" y="8631156"/>
          <a:ext cx="1500620" cy="1"/>
        </a:xfrm>
        <a:prstGeom prst="straightConnector1">
          <a:avLst/>
        </a:prstGeom>
        <a:ln w="57150">
          <a:solidFill>
            <a:srgbClr val="0070C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10</xdr:col>
      <xdr:colOff>142311</xdr:colOff>
      <xdr:row>14</xdr:row>
      <xdr:rowOff>404785</xdr:rowOff>
    </xdr:from>
    <xdr:to>
      <xdr:col>10</xdr:col>
      <xdr:colOff>1437409</xdr:colOff>
      <xdr:row>16</xdr:row>
      <xdr:rowOff>478134</xdr:rowOff>
    </xdr:to>
    <xdr:sp macro="" textlink="">
      <xdr:nvSpPr>
        <xdr:cNvPr id="6" name="正方形/長方形 5">
          <a:extLst>
            <a:ext uri="{FF2B5EF4-FFF2-40B4-BE49-F238E27FC236}">
              <a16:creationId xmlns:a16="http://schemas.microsoft.com/office/drawing/2014/main" id="{ECAB5148-B17D-41B5-ACCD-FDE1C418EEF4}"/>
            </a:ext>
          </a:extLst>
        </xdr:cNvPr>
        <xdr:cNvSpPr/>
      </xdr:nvSpPr>
      <xdr:spPr>
        <a:xfrm>
          <a:off x="15035947" y="7730376"/>
          <a:ext cx="1295098" cy="973894"/>
        </a:xfrm>
        <a:prstGeom prst="rect">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ja-JP" sz="1100" b="1">
              <a:solidFill>
                <a:sysClr val="windowText" lastClr="000000"/>
              </a:solidFill>
              <a:effectLst/>
              <a:latin typeface="Meiryo UI" panose="020B0604030504040204" pitchFamily="50" charset="-128"/>
              <a:ea typeface="Meiryo UI" panose="020B0604030504040204" pitchFamily="50" charset="-128"/>
              <a:cs typeface="+mn-cs"/>
            </a:rPr>
            <a:t>自動算出</a:t>
          </a:r>
          <a:endParaRPr kumimoji="1" lang="en-US" altLang="ja-JP" sz="1100" b="1">
            <a:solidFill>
              <a:sysClr val="windowText" lastClr="000000"/>
            </a:solidFill>
            <a:effectLst/>
            <a:latin typeface="Meiryo UI" panose="020B0604030504040204" pitchFamily="50" charset="-128"/>
            <a:ea typeface="Meiryo UI" panose="020B0604030504040204" pitchFamily="50" charset="-128"/>
            <a:cs typeface="+mn-cs"/>
          </a:endParaRPr>
        </a:p>
        <a:p>
          <a:pPr algn="ctr"/>
          <a:r>
            <a:rPr kumimoji="1" lang="en-US" altLang="ja-JP" sz="1000" b="1">
              <a:solidFill>
                <a:sysClr val="windowText" lastClr="000000"/>
              </a:solidFill>
              <a:effectLst/>
              <a:latin typeface="Meiryo UI" panose="020B0604030504040204" pitchFamily="50" charset="-128"/>
              <a:ea typeface="Meiryo UI" panose="020B0604030504040204" pitchFamily="50" charset="-128"/>
              <a:cs typeface="+mn-cs"/>
            </a:rPr>
            <a:t>&lt;</a:t>
          </a:r>
          <a:r>
            <a:rPr kumimoji="1" lang="ja-JP" altLang="en-US" sz="1000" b="1">
              <a:solidFill>
                <a:sysClr val="windowText" lastClr="000000"/>
              </a:solidFill>
              <a:effectLst/>
              <a:latin typeface="Meiryo UI" panose="020B0604030504040204" pitchFamily="50" charset="-128"/>
              <a:ea typeface="Meiryo UI" panose="020B0604030504040204" pitchFamily="50" charset="-128"/>
              <a:cs typeface="+mn-cs"/>
            </a:rPr>
            <a:t>必要回数</a:t>
          </a:r>
          <a:endParaRPr kumimoji="1" lang="en-US" altLang="ja-JP" sz="1000" b="1">
            <a:solidFill>
              <a:sysClr val="windowText" lastClr="000000"/>
            </a:solidFill>
            <a:effectLst/>
            <a:latin typeface="Meiryo UI" panose="020B0604030504040204" pitchFamily="50" charset="-128"/>
            <a:ea typeface="Meiryo UI" panose="020B0604030504040204" pitchFamily="50" charset="-128"/>
            <a:cs typeface="+mn-cs"/>
          </a:endParaRPr>
        </a:p>
        <a:p>
          <a:pPr algn="ctr"/>
          <a:r>
            <a:rPr kumimoji="1" lang="en-US" altLang="ja-JP" sz="1000" b="1">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en-US" sz="1000" b="1">
              <a:solidFill>
                <a:sysClr val="windowText" lastClr="000000"/>
              </a:solidFill>
              <a:effectLst/>
              <a:latin typeface="Meiryo UI" panose="020B0604030504040204" pitchFamily="50" charset="-128"/>
              <a:ea typeface="Meiryo UI" panose="020B0604030504040204" pitchFamily="50" charset="-128"/>
              <a:cs typeface="+mn-cs"/>
            </a:rPr>
            <a:t>備蓄数（回数）</a:t>
          </a:r>
          <a:r>
            <a:rPr kumimoji="1" lang="en-US" altLang="ja-JP" sz="1000" b="1">
              <a:solidFill>
                <a:sysClr val="windowText" lastClr="000000"/>
              </a:solidFill>
              <a:effectLst/>
              <a:latin typeface="Meiryo UI" panose="020B0604030504040204" pitchFamily="50" charset="-128"/>
              <a:ea typeface="Meiryo UI" panose="020B0604030504040204" pitchFamily="50" charset="-128"/>
              <a:cs typeface="+mn-cs"/>
            </a:rPr>
            <a:t>&gt;</a:t>
          </a:r>
        </a:p>
      </xdr:txBody>
    </xdr:sp>
    <xdr:clientData/>
  </xdr:twoCellAnchor>
  <xdr:twoCellAnchor>
    <xdr:from>
      <xdr:col>10</xdr:col>
      <xdr:colOff>389812</xdr:colOff>
      <xdr:row>18</xdr:row>
      <xdr:rowOff>425824</xdr:rowOff>
    </xdr:from>
    <xdr:to>
      <xdr:col>13</xdr:col>
      <xdr:colOff>537882</xdr:colOff>
      <xdr:row>25</xdr:row>
      <xdr:rowOff>62803</xdr:rowOff>
    </xdr:to>
    <xdr:sp macro="" textlink="">
      <xdr:nvSpPr>
        <xdr:cNvPr id="8" name="正方形/長方形 7">
          <a:extLst>
            <a:ext uri="{FF2B5EF4-FFF2-40B4-BE49-F238E27FC236}">
              <a16:creationId xmlns:a16="http://schemas.microsoft.com/office/drawing/2014/main" id="{847518F5-B01E-40F4-9426-28DF2753DF88}"/>
            </a:ext>
          </a:extLst>
        </xdr:cNvPr>
        <xdr:cNvSpPr/>
      </xdr:nvSpPr>
      <xdr:spPr>
        <a:xfrm>
          <a:off x="15220237" y="9712699"/>
          <a:ext cx="4805795" cy="2856429"/>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000" b="0">
              <a:solidFill>
                <a:srgbClr val="FF0000"/>
              </a:solidFill>
              <a:effectLst/>
              <a:latin typeface="Meiryo UI" panose="020B0604030504040204" pitchFamily="50" charset="-128"/>
              <a:ea typeface="Meiryo UI" panose="020B0604030504040204" pitchFamily="50" charset="-128"/>
              <a:cs typeface="+mn-cs"/>
            </a:rPr>
            <a:t>※</a:t>
          </a:r>
          <a:r>
            <a:rPr kumimoji="1" lang="ja-JP" altLang="en-US" sz="1000" b="0">
              <a:solidFill>
                <a:srgbClr val="FF0000"/>
              </a:solidFill>
              <a:effectLst/>
              <a:latin typeface="Meiryo UI" panose="020B0604030504040204" pitchFamily="50" charset="-128"/>
              <a:ea typeface="Meiryo UI" panose="020B0604030504040204" pitchFamily="50" charset="-128"/>
              <a:cs typeface="+mn-cs"/>
            </a:rPr>
            <a:t>本シートは回数ベースで算定するものである。既に排水機能が確保されている場合は、基数を考慮することになるため、本シートによる回数ベース判定の対象外としている。</a:t>
          </a:r>
          <a:endParaRPr kumimoji="1" lang="en-US" altLang="ja-JP" sz="1000" b="0">
            <a:solidFill>
              <a:srgbClr val="FF0000"/>
            </a:solidFill>
            <a:effectLst/>
            <a:latin typeface="Meiryo UI" panose="020B0604030504040204" pitchFamily="50" charset="-128"/>
            <a:ea typeface="Meiryo UI" panose="020B0604030504040204" pitchFamily="50" charset="-128"/>
            <a:cs typeface="+mn-cs"/>
          </a:endParaRPr>
        </a:p>
        <a:p>
          <a:pPr algn="l"/>
          <a:r>
            <a:rPr kumimoji="1" lang="ja-JP" altLang="en-US" sz="1000" b="0">
              <a:solidFill>
                <a:srgbClr val="FF0000"/>
              </a:solidFill>
              <a:effectLst/>
              <a:latin typeface="Meiryo UI" panose="020B0604030504040204" pitchFamily="50" charset="-128"/>
              <a:ea typeface="Meiryo UI" panose="020B0604030504040204" pitchFamily="50" charset="-128"/>
              <a:cs typeface="+mn-cs"/>
            </a:rPr>
            <a:t>そのため、水洗トイレやマンホールトイレ（本管直結型、貯留型のうち下水への放流をしている状態のもの）は本シートの対象外。</a:t>
          </a:r>
          <a:endParaRPr kumimoji="1" lang="en-US" altLang="ja-JP" sz="1000" b="0">
            <a:solidFill>
              <a:srgbClr val="FF0000"/>
            </a:solidFill>
            <a:effectLst/>
            <a:latin typeface="Meiryo UI" panose="020B0604030504040204" pitchFamily="50" charset="-128"/>
            <a:ea typeface="Meiryo UI" panose="020B0604030504040204" pitchFamily="50" charset="-128"/>
            <a:cs typeface="+mn-cs"/>
          </a:endParaRPr>
        </a:p>
        <a:p>
          <a:pPr algn="l"/>
          <a:r>
            <a:rPr kumimoji="1" lang="en-US" altLang="ja-JP" sz="1000" b="0">
              <a:solidFill>
                <a:srgbClr val="FF0000"/>
              </a:solidFill>
              <a:effectLst/>
              <a:latin typeface="Meiryo UI" panose="020B0604030504040204" pitchFamily="50" charset="-128"/>
              <a:ea typeface="Meiryo UI" panose="020B0604030504040204" pitchFamily="50" charset="-128"/>
              <a:cs typeface="+mn-cs"/>
            </a:rPr>
            <a:t>※</a:t>
          </a:r>
          <a:r>
            <a:rPr kumimoji="1" lang="ja-JP" altLang="en-US" sz="1000" b="0">
              <a:solidFill>
                <a:srgbClr val="FF0000"/>
              </a:solidFill>
              <a:effectLst/>
              <a:latin typeface="Meiryo UI" panose="020B0604030504040204" pitchFamily="50" charset="-128"/>
              <a:ea typeface="Meiryo UI" panose="020B0604030504040204" pitchFamily="50" charset="-128"/>
              <a:cs typeface="+mn-cs"/>
            </a:rPr>
            <a:t>し尿処理発生量・仮設トイレにおける汲み取り必要回数については「避難所におけるトイレの確保・管理ガイドライン」（令和６年</a:t>
          </a:r>
          <a:r>
            <a:rPr kumimoji="1" lang="en-US" altLang="ja-JP" sz="1000" b="0">
              <a:solidFill>
                <a:srgbClr val="FF0000"/>
              </a:solidFill>
              <a:effectLst/>
              <a:latin typeface="Meiryo UI" panose="020B0604030504040204" pitchFamily="50" charset="-128"/>
              <a:ea typeface="Meiryo UI" panose="020B0604030504040204" pitchFamily="50" charset="-128"/>
              <a:cs typeface="+mn-cs"/>
            </a:rPr>
            <a:t>12</a:t>
          </a:r>
          <a:r>
            <a:rPr kumimoji="1" lang="ja-JP" altLang="en-US" sz="1000" b="0">
              <a:solidFill>
                <a:srgbClr val="FF0000"/>
              </a:solidFill>
              <a:effectLst/>
              <a:latin typeface="Meiryo UI" panose="020B0604030504040204" pitchFamily="50" charset="-128"/>
              <a:ea typeface="Meiryo UI" panose="020B0604030504040204" pitchFamily="50" charset="-128"/>
              <a:cs typeface="+mn-cs"/>
            </a:rPr>
            <a:t>月改定）</a:t>
          </a:r>
          <a:r>
            <a:rPr kumimoji="1" lang="en-US" altLang="ja-JP" sz="1000" b="0">
              <a:solidFill>
                <a:srgbClr val="FF0000"/>
              </a:solidFill>
              <a:effectLst/>
              <a:latin typeface="Meiryo UI" panose="020B0604030504040204" pitchFamily="50" charset="-128"/>
              <a:ea typeface="Meiryo UI" panose="020B0604030504040204" pitchFamily="50" charset="-128"/>
              <a:cs typeface="+mn-cs"/>
            </a:rPr>
            <a:t>p27</a:t>
          </a:r>
          <a:r>
            <a:rPr kumimoji="1" lang="ja-JP" altLang="en-US" sz="1000" b="0">
              <a:solidFill>
                <a:srgbClr val="FF0000"/>
              </a:solidFill>
              <a:effectLst/>
              <a:latin typeface="Meiryo UI" panose="020B0604030504040204" pitchFamily="50" charset="-128"/>
              <a:ea typeface="Meiryo UI" panose="020B0604030504040204" pitchFamily="50" charset="-128"/>
              <a:cs typeface="+mn-cs"/>
            </a:rPr>
            <a:t>を参照すること。（例：１回あたりのし尿発生量は</a:t>
          </a:r>
          <a:r>
            <a:rPr kumimoji="1" lang="en-US" altLang="ja-JP" sz="1000" b="0">
              <a:solidFill>
                <a:srgbClr val="FF0000"/>
              </a:solidFill>
              <a:effectLst/>
              <a:latin typeface="Meiryo UI" panose="020B0604030504040204" pitchFamily="50" charset="-128"/>
              <a:ea typeface="Meiryo UI" panose="020B0604030504040204" pitchFamily="50" charset="-128"/>
              <a:cs typeface="+mn-cs"/>
            </a:rPr>
            <a:t>300ml</a:t>
          </a:r>
          <a:r>
            <a:rPr kumimoji="1" lang="ja-JP" altLang="en-US" sz="1000" b="0">
              <a:solidFill>
                <a:srgbClr val="FF0000"/>
              </a:solidFill>
              <a:effectLst/>
              <a:latin typeface="Meiryo UI" panose="020B0604030504040204" pitchFamily="50" charset="-128"/>
              <a:ea typeface="Meiryo UI" panose="020B0604030504040204" pitchFamily="50" charset="-128"/>
              <a:cs typeface="+mn-cs"/>
            </a:rPr>
            <a:t>、洗浄水は</a:t>
          </a:r>
          <a:r>
            <a:rPr kumimoji="1" lang="en-US" altLang="ja-JP" sz="1000" b="0">
              <a:solidFill>
                <a:srgbClr val="FF0000"/>
              </a:solidFill>
              <a:effectLst/>
              <a:latin typeface="Meiryo UI" panose="020B0604030504040204" pitchFamily="50" charset="-128"/>
              <a:ea typeface="Meiryo UI" panose="020B0604030504040204" pitchFamily="50" charset="-128"/>
              <a:cs typeface="+mn-cs"/>
            </a:rPr>
            <a:t>200ml</a:t>
          </a:r>
          <a:r>
            <a:rPr kumimoji="1" lang="ja-JP" altLang="en-US" sz="1000" b="0">
              <a:solidFill>
                <a:srgbClr val="FF0000"/>
              </a:solidFill>
              <a:effectLst/>
              <a:latin typeface="Meiryo UI" panose="020B0604030504040204" pitchFamily="50" charset="-128"/>
              <a:ea typeface="Meiryo UI" panose="020B0604030504040204" pitchFamily="50" charset="-128"/>
              <a:cs typeface="+mn-cs"/>
            </a:rPr>
            <a:t>）</a:t>
          </a:r>
          <a:endParaRPr kumimoji="1" lang="en-US" altLang="ja-JP" sz="1000" b="0">
            <a:solidFill>
              <a:srgbClr val="FF0000"/>
            </a:solidFill>
            <a:effectLst/>
            <a:latin typeface="Meiryo UI" panose="020B0604030504040204" pitchFamily="50" charset="-128"/>
            <a:ea typeface="Meiryo UI" panose="020B0604030504040204" pitchFamily="50" charset="-128"/>
            <a:cs typeface="+mn-cs"/>
          </a:endParaRPr>
        </a:p>
        <a:p>
          <a:pPr algn="l"/>
          <a:r>
            <a:rPr kumimoji="1" lang="en-US" altLang="ja-JP" sz="1000" b="0">
              <a:solidFill>
                <a:srgbClr val="FF0000"/>
              </a:solidFill>
              <a:effectLst/>
              <a:latin typeface="Meiryo UI" panose="020B0604030504040204" pitchFamily="50" charset="-128"/>
              <a:ea typeface="Meiryo UI" panose="020B0604030504040204" pitchFamily="50" charset="-128"/>
              <a:cs typeface="+mn-cs"/>
            </a:rPr>
            <a:t>※</a:t>
          </a:r>
          <a:r>
            <a:rPr kumimoji="1" lang="ja-JP" altLang="en-US" sz="1000" b="0">
              <a:solidFill>
                <a:srgbClr val="FF0000"/>
              </a:solidFill>
              <a:effectLst/>
              <a:latin typeface="Meiryo UI" panose="020B0604030504040204" pitchFamily="50" charset="-128"/>
              <a:ea typeface="Meiryo UI" panose="020B0604030504040204" pitchFamily="50" charset="-128"/>
              <a:cs typeface="+mn-cs"/>
            </a:rPr>
            <a:t>スフィア基準に沿って女性用と男性用の割合が３：１となるように避難者に応じて対応すること。</a:t>
          </a:r>
          <a:endParaRPr kumimoji="1" lang="en-US" altLang="ja-JP" sz="1000" b="0">
            <a:solidFill>
              <a:srgbClr val="FF0000"/>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8</xdr:col>
      <xdr:colOff>1001309</xdr:colOff>
      <xdr:row>66</xdr:row>
      <xdr:rowOff>180933</xdr:rowOff>
    </xdr:from>
    <xdr:to>
      <xdr:col>12</xdr:col>
      <xdr:colOff>1416325</xdr:colOff>
      <xdr:row>68</xdr:row>
      <xdr:rowOff>248167</xdr:rowOff>
    </xdr:to>
    <xdr:sp macro="" textlink="">
      <xdr:nvSpPr>
        <xdr:cNvPr id="10" name="正方形/長方形 9">
          <a:extLst>
            <a:ext uri="{FF2B5EF4-FFF2-40B4-BE49-F238E27FC236}">
              <a16:creationId xmlns:a16="http://schemas.microsoft.com/office/drawing/2014/main" id="{BD36A740-630D-449E-A2EF-34C60AF205CB}"/>
            </a:ext>
          </a:extLst>
        </xdr:cNvPr>
        <xdr:cNvSpPr/>
      </xdr:nvSpPr>
      <xdr:spPr>
        <a:xfrm>
          <a:off x="12726584" y="30622833"/>
          <a:ext cx="6625316" cy="1019734"/>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000" b="0">
              <a:solidFill>
                <a:srgbClr val="FF0000"/>
              </a:solidFill>
              <a:effectLst/>
              <a:latin typeface="Meiryo UI" panose="020B0604030504040204" pitchFamily="50" charset="-128"/>
              <a:ea typeface="Meiryo UI" panose="020B0604030504040204" pitchFamily="50" charset="-128"/>
              <a:cs typeface="+mn-cs"/>
            </a:rPr>
            <a:t>※</a:t>
          </a:r>
          <a:r>
            <a:rPr kumimoji="1" lang="ja-JP" altLang="en-US" sz="1000" b="0">
              <a:solidFill>
                <a:srgbClr val="FF0000"/>
              </a:solidFill>
              <a:effectLst/>
              <a:latin typeface="Meiryo UI" panose="020B0604030504040204" pitchFamily="50" charset="-128"/>
              <a:ea typeface="Meiryo UI" panose="020B0604030504040204" pitchFamily="50" charset="-128"/>
              <a:cs typeface="+mn-cs"/>
            </a:rPr>
            <a:t>トイレの整備・設置にあたっては、下記ガイドライン等も参考にすること</a:t>
          </a:r>
          <a:endParaRPr kumimoji="1" lang="en-US" altLang="ja-JP" sz="1000" b="0">
            <a:solidFill>
              <a:srgbClr val="FF0000"/>
            </a:solidFill>
            <a:effectLst/>
            <a:latin typeface="Meiryo UI" panose="020B0604030504040204" pitchFamily="50" charset="-128"/>
            <a:ea typeface="Meiryo UI" panose="020B0604030504040204" pitchFamily="50" charset="-128"/>
            <a:cs typeface="+mn-cs"/>
          </a:endParaRPr>
        </a:p>
        <a:p>
          <a:pPr algn="l"/>
          <a:r>
            <a:rPr kumimoji="1" lang="ja-JP" altLang="en-US" sz="1000" b="0">
              <a:solidFill>
                <a:srgbClr val="FF0000"/>
              </a:solidFill>
              <a:effectLst/>
              <a:latin typeface="Meiryo UI" panose="020B0604030504040204" pitchFamily="50" charset="-128"/>
              <a:ea typeface="Meiryo UI" panose="020B0604030504040204" pitchFamily="50" charset="-128"/>
              <a:cs typeface="+mn-cs"/>
            </a:rPr>
            <a:t>　・避難所におけるトイレの確保・管理ガイドライン（令和６年</a:t>
          </a:r>
          <a:r>
            <a:rPr kumimoji="1" lang="en-US" altLang="ja-JP" sz="1000" b="0">
              <a:solidFill>
                <a:srgbClr val="FF0000"/>
              </a:solidFill>
              <a:effectLst/>
              <a:latin typeface="Meiryo UI" panose="020B0604030504040204" pitchFamily="50" charset="-128"/>
              <a:ea typeface="Meiryo UI" panose="020B0604030504040204" pitchFamily="50" charset="-128"/>
              <a:cs typeface="+mn-cs"/>
            </a:rPr>
            <a:t>12</a:t>
          </a:r>
          <a:r>
            <a:rPr kumimoji="1" lang="ja-JP" altLang="en-US" sz="1000" b="0">
              <a:solidFill>
                <a:srgbClr val="FF0000"/>
              </a:solidFill>
              <a:effectLst/>
              <a:latin typeface="Meiryo UI" panose="020B0604030504040204" pitchFamily="50" charset="-128"/>
              <a:ea typeface="Meiryo UI" panose="020B0604030504040204" pitchFamily="50" charset="-128"/>
              <a:cs typeface="+mn-cs"/>
            </a:rPr>
            <a:t>月改定　（内閣府防災担当））</a:t>
          </a:r>
          <a:endParaRPr kumimoji="1" lang="en-US" altLang="ja-JP" sz="1000" b="0">
            <a:solidFill>
              <a:srgbClr val="FF0000"/>
            </a:solidFill>
            <a:effectLst/>
            <a:latin typeface="Meiryo UI" panose="020B0604030504040204" pitchFamily="50" charset="-128"/>
            <a:ea typeface="Meiryo UI" panose="020B0604030504040204" pitchFamily="50" charset="-128"/>
            <a:cs typeface="+mn-cs"/>
          </a:endParaRPr>
        </a:p>
        <a:p>
          <a:pPr algn="l"/>
          <a:r>
            <a:rPr kumimoji="1" lang="ja-JP" altLang="en-US" sz="1000" b="0">
              <a:solidFill>
                <a:srgbClr val="FF0000"/>
              </a:solidFill>
              <a:effectLst/>
              <a:latin typeface="Meiryo UI" panose="020B0604030504040204" pitchFamily="50" charset="-128"/>
              <a:ea typeface="Meiryo UI" panose="020B0604030504040204" pitchFamily="50" charset="-128"/>
              <a:cs typeface="+mn-cs"/>
            </a:rPr>
            <a:t>　・マンホールトイレ整備・運用のためのガイドライン（令和３年３月（国土交通省　水管理・国土保全局　下水道部））</a:t>
          </a:r>
          <a:endParaRPr kumimoji="1" lang="en-US" altLang="ja-JP" sz="1000" b="0">
            <a:solidFill>
              <a:srgbClr val="FF0000"/>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11</xdr:col>
      <xdr:colOff>69273</xdr:colOff>
      <xdr:row>29</xdr:row>
      <xdr:rowOff>310739</xdr:rowOff>
    </xdr:from>
    <xdr:to>
      <xdr:col>13</xdr:col>
      <xdr:colOff>637309</xdr:colOff>
      <xdr:row>33</xdr:row>
      <xdr:rowOff>311727</xdr:rowOff>
    </xdr:to>
    <xdr:sp macro="" textlink="">
      <xdr:nvSpPr>
        <xdr:cNvPr id="13" name="正方形/長方形 12">
          <a:extLst>
            <a:ext uri="{FF2B5EF4-FFF2-40B4-BE49-F238E27FC236}">
              <a16:creationId xmlns:a16="http://schemas.microsoft.com/office/drawing/2014/main" id="{C0FA9FF4-EF32-4E57-BF3A-07A5C10FF17B}"/>
            </a:ext>
          </a:extLst>
        </xdr:cNvPr>
        <xdr:cNvSpPr/>
      </xdr:nvSpPr>
      <xdr:spPr>
        <a:xfrm>
          <a:off x="16452273" y="14788739"/>
          <a:ext cx="3673186" cy="1791688"/>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a:solidFill>
                <a:srgbClr val="FF0000"/>
              </a:solidFill>
              <a:effectLst/>
              <a:latin typeface="Meiryo UI" panose="020B0604030504040204" pitchFamily="50" charset="-128"/>
              <a:ea typeface="Meiryo UI" panose="020B0604030504040204" pitchFamily="50" charset="-128"/>
              <a:cs typeface="+mn-cs"/>
            </a:rPr>
            <a:t>○本算定式を用いて、確保予定の数量について</a:t>
          </a:r>
          <a:r>
            <a:rPr kumimoji="1" lang="ja-JP" altLang="en-US" sz="1000" b="1">
              <a:solidFill>
                <a:srgbClr val="FF0000"/>
              </a:solidFill>
              <a:effectLst/>
              <a:latin typeface="Meiryo UI" panose="020B0604030504040204" pitchFamily="50" charset="-128"/>
              <a:ea typeface="Meiryo UI" panose="020B0604030504040204" pitchFamily="50" charset="-128"/>
              <a:cs typeface="+mn-cs"/>
            </a:rPr>
            <a:t>基数ベース</a:t>
          </a:r>
          <a:r>
            <a:rPr kumimoji="1" lang="ja-JP" altLang="en-US" sz="1000" b="0">
              <a:solidFill>
                <a:srgbClr val="FF0000"/>
              </a:solidFill>
              <a:effectLst/>
              <a:latin typeface="Meiryo UI" panose="020B0604030504040204" pitchFamily="50" charset="-128"/>
              <a:ea typeface="Meiryo UI" panose="020B0604030504040204" pitchFamily="50" charset="-128"/>
              <a:cs typeface="+mn-cs"/>
            </a:rPr>
            <a:t>から</a:t>
          </a:r>
          <a:r>
            <a:rPr kumimoji="1" lang="ja-JP" altLang="en-US" sz="1000" b="1">
              <a:solidFill>
                <a:srgbClr val="FF0000"/>
              </a:solidFill>
              <a:effectLst/>
              <a:latin typeface="Meiryo UI" panose="020B0604030504040204" pitchFamily="50" charset="-128"/>
              <a:ea typeface="Meiryo UI" panose="020B0604030504040204" pitchFamily="50" charset="-128"/>
              <a:cs typeface="+mn-cs"/>
            </a:rPr>
            <a:t>回数ベース</a:t>
          </a:r>
          <a:r>
            <a:rPr kumimoji="1" lang="ja-JP" altLang="en-US" sz="1000" b="0">
              <a:solidFill>
                <a:srgbClr val="FF0000"/>
              </a:solidFill>
              <a:effectLst/>
              <a:latin typeface="Meiryo UI" panose="020B0604030504040204" pitchFamily="50" charset="-128"/>
              <a:ea typeface="Meiryo UI" panose="020B0604030504040204" pitchFamily="50" charset="-128"/>
              <a:cs typeface="+mn-cs"/>
            </a:rPr>
            <a:t>に変換すること。</a:t>
          </a:r>
          <a:endParaRPr kumimoji="1" lang="en-US" altLang="ja-JP" sz="1000" b="0">
            <a:solidFill>
              <a:srgbClr val="FF0000"/>
            </a:solidFill>
            <a:effectLst/>
            <a:latin typeface="Meiryo UI" panose="020B0604030504040204" pitchFamily="50" charset="-128"/>
            <a:ea typeface="Meiryo UI" panose="020B0604030504040204" pitchFamily="50" charset="-128"/>
            <a:cs typeface="+mn-cs"/>
          </a:endParaRPr>
        </a:p>
        <a:p>
          <a:pPr algn="l"/>
          <a:r>
            <a:rPr kumimoji="1" lang="ja-JP" altLang="en-US" sz="1000" b="0">
              <a:solidFill>
                <a:srgbClr val="FF0000"/>
              </a:solidFill>
              <a:effectLst/>
              <a:latin typeface="Meiryo UI" panose="020B0604030504040204" pitchFamily="50" charset="-128"/>
              <a:ea typeface="Meiryo UI" panose="020B0604030504040204" pitchFamily="50" charset="-128"/>
              <a:cs typeface="+mn-cs"/>
            </a:rPr>
            <a:t>○回数ベースの確保数については、下の</a:t>
          </a:r>
          <a:r>
            <a:rPr kumimoji="1" lang="en-US" altLang="ja-JP" sz="1000" b="0">
              <a:solidFill>
                <a:srgbClr val="FF0000"/>
              </a:solidFill>
              <a:effectLst/>
              <a:latin typeface="Meiryo UI" panose="020B0604030504040204" pitchFamily="50" charset="-128"/>
              <a:ea typeface="Meiryo UI" panose="020B0604030504040204" pitchFamily="50" charset="-128"/>
              <a:cs typeface="+mn-cs"/>
            </a:rPr>
            <a:t>【</a:t>
          </a:r>
          <a:r>
            <a:rPr kumimoji="1" lang="ja-JP" altLang="en-US" sz="1000" b="0">
              <a:solidFill>
                <a:srgbClr val="FF0000"/>
              </a:solidFill>
              <a:effectLst/>
              <a:latin typeface="Meiryo UI" panose="020B0604030504040204" pitchFamily="50" charset="-128"/>
              <a:ea typeface="Meiryo UI" panose="020B0604030504040204" pitchFamily="50" charset="-128"/>
              <a:cs typeface="+mn-cs"/>
            </a:rPr>
            <a:t>確保方法（種類）</a:t>
          </a:r>
          <a:r>
            <a:rPr kumimoji="1" lang="en-US" altLang="ja-JP" sz="1000" b="0">
              <a:solidFill>
                <a:srgbClr val="FF0000"/>
              </a:solidFill>
              <a:effectLst/>
              <a:latin typeface="Meiryo UI" panose="020B0604030504040204" pitchFamily="50" charset="-128"/>
              <a:ea typeface="Meiryo UI" panose="020B0604030504040204" pitchFamily="50" charset="-128"/>
              <a:cs typeface="+mn-cs"/>
            </a:rPr>
            <a:t>】</a:t>
          </a:r>
          <a:r>
            <a:rPr kumimoji="1" lang="ja-JP" altLang="en-US" sz="1000" b="0">
              <a:solidFill>
                <a:srgbClr val="FF0000"/>
              </a:solidFill>
              <a:effectLst/>
              <a:latin typeface="Meiryo UI" panose="020B0604030504040204" pitchFamily="50" charset="-128"/>
              <a:ea typeface="Meiryo UI" panose="020B0604030504040204" pitchFamily="50" charset="-128"/>
              <a:cs typeface="+mn-cs"/>
            </a:rPr>
            <a:t>に入力すること。</a:t>
          </a:r>
          <a:endParaRPr kumimoji="1" lang="en-US" altLang="ja-JP" sz="1000" b="0">
            <a:solidFill>
              <a:srgbClr val="FF0000"/>
            </a:solidFill>
            <a:effectLst/>
            <a:latin typeface="Meiryo UI" panose="020B0604030504040204" pitchFamily="50" charset="-128"/>
            <a:ea typeface="Meiryo UI" panose="020B0604030504040204" pitchFamily="50" charset="-128"/>
            <a:cs typeface="+mn-cs"/>
          </a:endParaRPr>
        </a:p>
        <a:p>
          <a:pPr algn="l"/>
          <a:r>
            <a:rPr kumimoji="1" lang="en-US" altLang="ja-JP" sz="1000" b="0">
              <a:solidFill>
                <a:srgbClr val="FF0000"/>
              </a:solidFill>
              <a:effectLst/>
              <a:latin typeface="Meiryo UI" panose="020B0604030504040204" pitchFamily="50" charset="-128"/>
              <a:ea typeface="Meiryo UI" panose="020B0604030504040204" pitchFamily="50" charset="-128"/>
              <a:cs typeface="+mn-cs"/>
            </a:rPr>
            <a:t>※</a:t>
          </a:r>
          <a:r>
            <a:rPr kumimoji="1" lang="ja-JP" altLang="en-US" sz="1000" b="0">
              <a:solidFill>
                <a:srgbClr val="FF0000"/>
              </a:solidFill>
              <a:effectLst/>
              <a:latin typeface="Meiryo UI" panose="020B0604030504040204" pitchFamily="50" charset="-128"/>
              <a:ea typeface="Meiryo UI" panose="020B0604030504040204" pitchFamily="50" charset="-128"/>
              <a:cs typeface="+mn-cs"/>
            </a:rPr>
            <a:t>携帯トイレ、簡易トイレについては廃棄物の回収方法と頻度を事前に検討すること</a:t>
          </a:r>
          <a:endParaRPr kumimoji="1" lang="en-US" altLang="ja-JP" sz="1000" b="0">
            <a:solidFill>
              <a:srgbClr val="FF0000"/>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7</xdr:col>
      <xdr:colOff>1437408</xdr:colOff>
      <xdr:row>47</xdr:row>
      <xdr:rowOff>244928</xdr:rowOff>
    </xdr:from>
    <xdr:to>
      <xdr:col>11</xdr:col>
      <xdr:colOff>108857</xdr:colOff>
      <xdr:row>49</xdr:row>
      <xdr:rowOff>190500</xdr:rowOff>
    </xdr:to>
    <xdr:cxnSp macro="">
      <xdr:nvCxnSpPr>
        <xdr:cNvPr id="14" name="直線矢印コネクタ 13">
          <a:extLst>
            <a:ext uri="{FF2B5EF4-FFF2-40B4-BE49-F238E27FC236}">
              <a16:creationId xmlns:a16="http://schemas.microsoft.com/office/drawing/2014/main" id="{852485CB-D73C-4037-BA41-5D54F587A331}"/>
            </a:ext>
          </a:extLst>
        </xdr:cNvPr>
        <xdr:cNvCxnSpPr/>
      </xdr:nvCxnSpPr>
      <xdr:spPr>
        <a:xfrm flipV="1">
          <a:off x="11610108" y="22638203"/>
          <a:ext cx="4881749" cy="840922"/>
        </a:xfrm>
        <a:prstGeom prst="straightConnector1">
          <a:avLst/>
        </a:prstGeom>
        <a:ln w="57150">
          <a:solidFill>
            <a:srgbClr val="0070C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686541</xdr:colOff>
      <xdr:row>47</xdr:row>
      <xdr:rowOff>376052</xdr:rowOff>
    </xdr:from>
    <xdr:to>
      <xdr:col>10</xdr:col>
      <xdr:colOff>288221</xdr:colOff>
      <xdr:row>48</xdr:row>
      <xdr:rowOff>272142</xdr:rowOff>
    </xdr:to>
    <xdr:sp macro="" textlink="">
      <xdr:nvSpPr>
        <xdr:cNvPr id="15" name="正方形/長方形 14">
          <a:extLst>
            <a:ext uri="{FF2B5EF4-FFF2-40B4-BE49-F238E27FC236}">
              <a16:creationId xmlns:a16="http://schemas.microsoft.com/office/drawing/2014/main" id="{4525F27A-A7ED-461B-AD4F-DB61A53FCCDB}"/>
            </a:ext>
          </a:extLst>
        </xdr:cNvPr>
        <xdr:cNvSpPr/>
      </xdr:nvSpPr>
      <xdr:spPr>
        <a:xfrm>
          <a:off x="13964391" y="22769327"/>
          <a:ext cx="1154255" cy="343765"/>
        </a:xfrm>
        <a:prstGeom prst="rect">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solidFill>
                <a:sysClr val="windowText" lastClr="000000"/>
              </a:solidFill>
              <a:effectLst/>
              <a:latin typeface="Meiryo UI" panose="020B0604030504040204" pitchFamily="50" charset="-128"/>
              <a:ea typeface="Meiryo UI" panose="020B0604030504040204" pitchFamily="50" charset="-128"/>
              <a:cs typeface="+mn-cs"/>
            </a:rPr>
            <a:t>自動引込</a:t>
          </a:r>
          <a:endParaRPr kumimoji="1" lang="en-US" altLang="ja-JP" sz="800" b="1">
            <a:solidFill>
              <a:sysClr val="windowText" lastClr="000000"/>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11</xdr:col>
      <xdr:colOff>265043</xdr:colOff>
      <xdr:row>14</xdr:row>
      <xdr:rowOff>74543</xdr:rowOff>
    </xdr:from>
    <xdr:to>
      <xdr:col>11</xdr:col>
      <xdr:colOff>265043</xdr:colOff>
      <xdr:row>15</xdr:row>
      <xdr:rowOff>422414</xdr:rowOff>
    </xdr:to>
    <xdr:cxnSp macro="">
      <xdr:nvCxnSpPr>
        <xdr:cNvPr id="16" name="直線矢印コネクタ 15">
          <a:extLst>
            <a:ext uri="{FF2B5EF4-FFF2-40B4-BE49-F238E27FC236}">
              <a16:creationId xmlns:a16="http://schemas.microsoft.com/office/drawing/2014/main" id="{C5334F3F-2891-4389-B02C-D19BE020ACE4}"/>
            </a:ext>
          </a:extLst>
        </xdr:cNvPr>
        <xdr:cNvCxnSpPr/>
      </xdr:nvCxnSpPr>
      <xdr:spPr>
        <a:xfrm>
          <a:off x="16648043" y="7408793"/>
          <a:ext cx="0" cy="805071"/>
        </a:xfrm>
        <a:prstGeom prst="straightConnector1">
          <a:avLst/>
        </a:prstGeom>
        <a:ln w="57150">
          <a:solidFill>
            <a:srgbClr val="0070C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571498</xdr:colOff>
      <xdr:row>36</xdr:row>
      <xdr:rowOff>95248</xdr:rowOff>
    </xdr:from>
    <xdr:to>
      <xdr:col>10</xdr:col>
      <xdr:colOff>595312</xdr:colOff>
      <xdr:row>39</xdr:row>
      <xdr:rowOff>119061</xdr:rowOff>
    </xdr:to>
    <xdr:sp macro="" textlink="">
      <xdr:nvSpPr>
        <xdr:cNvPr id="17" name="矢印: 下 16">
          <a:extLst>
            <a:ext uri="{FF2B5EF4-FFF2-40B4-BE49-F238E27FC236}">
              <a16:creationId xmlns:a16="http://schemas.microsoft.com/office/drawing/2014/main" id="{33D90D8D-F730-4907-A201-52DA60CE9423}"/>
            </a:ext>
          </a:extLst>
        </xdr:cNvPr>
        <xdr:cNvSpPr/>
      </xdr:nvSpPr>
      <xdr:spPr>
        <a:xfrm>
          <a:off x="1257298" y="17706973"/>
          <a:ext cx="14168439" cy="1366838"/>
        </a:xfrm>
        <a:prstGeom prst="downArrow">
          <a:avLst>
            <a:gd name="adj1" fmla="val 66382"/>
            <a:gd name="adj2" fmla="val 27586"/>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kumimoji="1" lang="ja-JP" altLang="en-US" sz="2300" b="1">
              <a:solidFill>
                <a:srgbClr val="FF0000"/>
              </a:solidFill>
              <a:latin typeface="Meiryo UI" panose="020B0604030504040204" pitchFamily="50" charset="-128"/>
              <a:ea typeface="Meiryo UI" panose="020B0604030504040204" pitchFamily="50" charset="-128"/>
            </a:rPr>
            <a:t>上の式で算定した</a:t>
          </a:r>
          <a:r>
            <a:rPr kumimoji="1" lang="en-US" altLang="ja-JP" sz="2300" b="1">
              <a:solidFill>
                <a:srgbClr val="FF0000"/>
              </a:solidFill>
              <a:latin typeface="Meiryo UI" panose="020B0604030504040204" pitchFamily="50" charset="-128"/>
              <a:ea typeface="Meiryo UI" panose="020B0604030504040204" pitchFamily="50" charset="-128"/>
            </a:rPr>
            <a:t>【</a:t>
          </a:r>
          <a:r>
            <a:rPr kumimoji="1" lang="ja-JP" altLang="en-US" sz="2300" b="1">
              <a:solidFill>
                <a:srgbClr val="FF0000"/>
              </a:solidFill>
              <a:latin typeface="Meiryo UI" panose="020B0604030504040204" pitchFamily="50" charset="-128"/>
              <a:ea typeface="Meiryo UI" panose="020B0604030504040204" pitchFamily="50" charset="-128"/>
            </a:rPr>
            <a:t>回数換算</a:t>
          </a:r>
          <a:r>
            <a:rPr kumimoji="1" lang="en-US" altLang="ja-JP" sz="2300" b="1">
              <a:solidFill>
                <a:srgbClr val="FF0000"/>
              </a:solidFill>
              <a:latin typeface="Meiryo UI" panose="020B0604030504040204" pitchFamily="50" charset="-128"/>
              <a:ea typeface="Meiryo UI" panose="020B0604030504040204" pitchFamily="50" charset="-128"/>
            </a:rPr>
            <a:t>】</a:t>
          </a:r>
          <a:r>
            <a:rPr kumimoji="1" lang="ja-JP" altLang="en-US" sz="2300" b="1">
              <a:solidFill>
                <a:srgbClr val="FF0000"/>
              </a:solidFill>
              <a:latin typeface="Meiryo UI" panose="020B0604030504040204" pitchFamily="50" charset="-128"/>
              <a:ea typeface="Meiryo UI" panose="020B0604030504040204" pitchFamily="50" charset="-128"/>
            </a:rPr>
            <a:t>を、下の</a:t>
          </a:r>
          <a:r>
            <a:rPr kumimoji="1" lang="en-US" altLang="ja-JP" sz="2300" b="1">
              <a:solidFill>
                <a:srgbClr val="FF0000"/>
              </a:solidFill>
              <a:latin typeface="Meiryo UI" panose="020B0604030504040204" pitchFamily="50" charset="-128"/>
              <a:ea typeface="Meiryo UI" panose="020B0604030504040204" pitchFamily="50" charset="-128"/>
            </a:rPr>
            <a:t>【</a:t>
          </a:r>
          <a:r>
            <a:rPr kumimoji="1" lang="ja-JP" altLang="en-US" sz="2300" b="1">
              <a:solidFill>
                <a:srgbClr val="FF0000"/>
              </a:solidFill>
              <a:latin typeface="Meiryo UI" panose="020B0604030504040204" pitchFamily="50" charset="-128"/>
              <a:ea typeface="Meiryo UI" panose="020B0604030504040204" pitchFamily="50" charset="-128"/>
            </a:rPr>
            <a:t>確保方法（種類）</a:t>
          </a:r>
          <a:r>
            <a:rPr kumimoji="1" lang="en-US" altLang="ja-JP" sz="2300" b="1">
              <a:solidFill>
                <a:srgbClr val="FF0000"/>
              </a:solidFill>
              <a:latin typeface="Meiryo UI" panose="020B0604030504040204" pitchFamily="50" charset="-128"/>
              <a:ea typeface="Meiryo UI" panose="020B0604030504040204" pitchFamily="50" charset="-128"/>
            </a:rPr>
            <a:t>】</a:t>
          </a:r>
          <a:r>
            <a:rPr kumimoji="1" lang="ja-JP" altLang="en-US" sz="2300" b="1">
              <a:solidFill>
                <a:srgbClr val="FF0000"/>
              </a:solidFill>
              <a:latin typeface="Meiryo UI" panose="020B0604030504040204" pitchFamily="50" charset="-128"/>
              <a:ea typeface="Meiryo UI" panose="020B0604030504040204" pitchFamily="50" charset="-128"/>
            </a:rPr>
            <a:t>に</a:t>
          </a:r>
          <a:endParaRPr kumimoji="1" lang="en-US" altLang="ja-JP" sz="2300" b="1">
            <a:solidFill>
              <a:srgbClr val="FF0000"/>
            </a:solidFill>
            <a:latin typeface="Meiryo UI" panose="020B0604030504040204" pitchFamily="50" charset="-128"/>
            <a:ea typeface="Meiryo UI" panose="020B0604030504040204" pitchFamily="50" charset="-128"/>
          </a:endParaRPr>
        </a:p>
        <a:p>
          <a:pPr algn="ctr"/>
          <a:r>
            <a:rPr kumimoji="1" lang="ja-JP" altLang="en-US" sz="2300" b="1">
              <a:solidFill>
                <a:srgbClr val="FF0000"/>
              </a:solidFill>
              <a:latin typeface="Meiryo UI" panose="020B0604030504040204" pitchFamily="50" charset="-128"/>
              <a:ea typeface="Meiryo UI" panose="020B0604030504040204" pitchFamily="50" charset="-128"/>
            </a:rPr>
            <a:t>トイレの種類ごとに確保方法（購入、レンタル等）の欄に転記する！</a:t>
          </a:r>
        </a:p>
      </xdr:txBody>
    </xdr:sp>
    <xdr:clientData/>
  </xdr:twoCellAnchor>
  <xdr:twoCellAnchor>
    <xdr:from>
      <xdr:col>15</xdr:col>
      <xdr:colOff>523874</xdr:colOff>
      <xdr:row>8</xdr:row>
      <xdr:rowOff>904874</xdr:rowOff>
    </xdr:from>
    <xdr:to>
      <xdr:col>24</xdr:col>
      <xdr:colOff>261936</xdr:colOff>
      <xdr:row>15</xdr:row>
      <xdr:rowOff>357186</xdr:rowOff>
    </xdr:to>
    <xdr:sp macro="" textlink="">
      <xdr:nvSpPr>
        <xdr:cNvPr id="2" name="正方形/長方形 1">
          <a:extLst>
            <a:ext uri="{FF2B5EF4-FFF2-40B4-BE49-F238E27FC236}">
              <a16:creationId xmlns:a16="http://schemas.microsoft.com/office/drawing/2014/main" id="{6DBC5CE9-876A-FEB6-EB06-0D8F764029EF}"/>
            </a:ext>
          </a:extLst>
        </xdr:cNvPr>
        <xdr:cNvSpPr/>
      </xdr:nvSpPr>
      <xdr:spPr>
        <a:xfrm>
          <a:off x="21335999" y="4524374"/>
          <a:ext cx="7977187" cy="3595687"/>
        </a:xfrm>
        <a:prstGeom prst="rect">
          <a:avLst/>
        </a:prstGeom>
        <a:noFill/>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293636</xdr:colOff>
      <xdr:row>13</xdr:row>
      <xdr:rowOff>361645</xdr:rowOff>
    </xdr:from>
    <xdr:to>
      <xdr:col>7</xdr:col>
      <xdr:colOff>779318</xdr:colOff>
      <xdr:row>15</xdr:row>
      <xdr:rowOff>398318</xdr:rowOff>
    </xdr:to>
    <xdr:sp macro="" textlink="">
      <xdr:nvSpPr>
        <xdr:cNvPr id="2" name="吹き出し: 四角形 1">
          <a:extLst>
            <a:ext uri="{FF2B5EF4-FFF2-40B4-BE49-F238E27FC236}">
              <a16:creationId xmlns:a16="http://schemas.microsoft.com/office/drawing/2014/main" id="{83A92D55-C1B8-42B7-9142-FAB97ACE9E91}"/>
            </a:ext>
          </a:extLst>
        </xdr:cNvPr>
        <xdr:cNvSpPr/>
      </xdr:nvSpPr>
      <xdr:spPr>
        <a:xfrm>
          <a:off x="5835454" y="7236963"/>
          <a:ext cx="5161591" cy="937219"/>
        </a:xfrm>
        <a:prstGeom prst="wedgeRectCallout">
          <a:avLst>
            <a:gd name="adj1" fmla="val -75164"/>
            <a:gd name="adj2" fmla="val -59765"/>
          </a:avLst>
        </a:prstGeom>
        <a:solidFill>
          <a:schemeClr val="bg1"/>
        </a:solidFill>
        <a:ln>
          <a:solidFill>
            <a:schemeClr val="tx1"/>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000" b="0">
              <a:solidFill>
                <a:srgbClr val="FF0000"/>
              </a:solidFill>
              <a:latin typeface="Meiryo UI" panose="020B0604030504040204" pitchFamily="50" charset="-128"/>
              <a:ea typeface="Meiryo UI" panose="020B0604030504040204" pitchFamily="50" charset="-128"/>
            </a:rPr>
            <a:t>算定する際に考慮する日数を入力。</a:t>
          </a:r>
          <a:endParaRPr kumimoji="1" lang="en-US" altLang="ja-JP" sz="1000" b="0">
            <a:solidFill>
              <a:srgbClr val="FF0000"/>
            </a:solidFill>
            <a:latin typeface="Meiryo UI" panose="020B0604030504040204" pitchFamily="50" charset="-128"/>
            <a:ea typeface="Meiryo UI" panose="020B0604030504040204" pitchFamily="50" charset="-128"/>
          </a:endParaRPr>
        </a:p>
        <a:p>
          <a:pPr algn="l"/>
          <a:r>
            <a:rPr kumimoji="1" lang="ja-JP" altLang="en-US" sz="1000" b="0">
              <a:solidFill>
                <a:srgbClr val="FF0000"/>
              </a:solidFill>
              <a:latin typeface="Meiryo UI" panose="020B0604030504040204" pitchFamily="50" charset="-128"/>
              <a:ea typeface="Meiryo UI" panose="020B0604030504040204" pitchFamily="50" charset="-128"/>
            </a:rPr>
            <a:t>仮設トイレやマンホールトイレが整備されるまでは携帯トイレや簡易トイレにより対処することになる。</a:t>
          </a:r>
          <a:endParaRPr kumimoji="1" lang="en-US" altLang="ja-JP" sz="1000" b="0">
            <a:solidFill>
              <a:srgbClr val="FF0000"/>
            </a:solidFill>
            <a:latin typeface="Meiryo UI" panose="020B0604030504040204" pitchFamily="50" charset="-128"/>
            <a:ea typeface="Meiryo UI" panose="020B0604030504040204" pitchFamily="50" charset="-128"/>
          </a:endParaRPr>
        </a:p>
        <a:p>
          <a:pPr algn="l"/>
          <a:r>
            <a:rPr kumimoji="1" lang="en-US" altLang="ja-JP" sz="1000" b="0">
              <a:solidFill>
                <a:srgbClr val="FF0000"/>
              </a:solidFill>
              <a:latin typeface="Meiryo UI" panose="020B0604030504040204" pitchFamily="50" charset="-128"/>
              <a:ea typeface="Meiryo UI" panose="020B0604030504040204" pitchFamily="50" charset="-128"/>
            </a:rPr>
            <a:t>※</a:t>
          </a:r>
          <a:r>
            <a:rPr kumimoji="1" lang="ja-JP" altLang="en-US" sz="1000" b="0">
              <a:solidFill>
                <a:srgbClr val="FF0000"/>
              </a:solidFill>
              <a:latin typeface="Meiryo UI" panose="020B0604030504040204" pitchFamily="50" charset="-128"/>
              <a:ea typeface="Meiryo UI" panose="020B0604030504040204" pitchFamily="50" charset="-128"/>
            </a:rPr>
            <a:t>過去地震では仮設トイレが使用可能になるまで</a:t>
          </a:r>
          <a:r>
            <a:rPr kumimoji="1" lang="en-US" altLang="ja-JP" sz="1000" b="0">
              <a:solidFill>
                <a:srgbClr val="FF0000"/>
              </a:solidFill>
              <a:latin typeface="Meiryo UI" panose="020B0604030504040204" pitchFamily="50" charset="-128"/>
              <a:ea typeface="Meiryo UI" panose="020B0604030504040204" pitchFamily="50" charset="-128"/>
            </a:rPr>
            <a:t>14</a:t>
          </a:r>
          <a:r>
            <a:rPr kumimoji="1" lang="ja-JP" altLang="en-US" sz="1000" b="0">
              <a:solidFill>
                <a:srgbClr val="FF0000"/>
              </a:solidFill>
              <a:latin typeface="Meiryo UI" panose="020B0604030504040204" pitchFamily="50" charset="-128"/>
              <a:ea typeface="Meiryo UI" panose="020B0604030504040204" pitchFamily="50" charset="-128"/>
            </a:rPr>
            <a:t>日程度を要した</a:t>
          </a:r>
          <a:endParaRPr kumimoji="1" lang="en-US" altLang="ja-JP" sz="1000" b="0">
            <a:solidFill>
              <a:srgbClr val="FF0000"/>
            </a:solidFill>
            <a:latin typeface="Meiryo UI" panose="020B0604030504040204" pitchFamily="50" charset="-128"/>
            <a:ea typeface="Meiryo UI" panose="020B0604030504040204" pitchFamily="50" charset="-128"/>
          </a:endParaRPr>
        </a:p>
        <a:p>
          <a:pPr algn="l"/>
          <a:r>
            <a:rPr kumimoji="1" lang="ja-JP" altLang="en-US" sz="1000" b="0">
              <a:solidFill>
                <a:srgbClr val="FF0000"/>
              </a:solidFill>
              <a:latin typeface="Meiryo UI" panose="020B0604030504040204" pitchFamily="50" charset="-128"/>
              <a:ea typeface="Meiryo UI" panose="020B0604030504040204" pitchFamily="50" charset="-128"/>
            </a:rPr>
            <a:t>想定避難者数は、避難所利用者だけでなく車中避難者等も含めて考慮すること。</a:t>
          </a:r>
          <a:endParaRPr kumimoji="1" lang="en-US" altLang="ja-JP" sz="1000" b="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4</xdr:col>
      <xdr:colOff>139564</xdr:colOff>
      <xdr:row>13</xdr:row>
      <xdr:rowOff>121228</xdr:rowOff>
    </xdr:from>
    <xdr:to>
      <xdr:col>10</xdr:col>
      <xdr:colOff>1264227</xdr:colOff>
      <xdr:row>13</xdr:row>
      <xdr:rowOff>159940</xdr:rowOff>
    </xdr:to>
    <xdr:cxnSp macro="">
      <xdr:nvCxnSpPr>
        <xdr:cNvPr id="3" name="直線矢印コネクタ 2">
          <a:extLst>
            <a:ext uri="{FF2B5EF4-FFF2-40B4-BE49-F238E27FC236}">
              <a16:creationId xmlns:a16="http://schemas.microsoft.com/office/drawing/2014/main" id="{E081C10F-C1CB-4133-A6CF-4CC003D089E9}"/>
            </a:ext>
          </a:extLst>
        </xdr:cNvPr>
        <xdr:cNvCxnSpPr/>
      </xdr:nvCxnSpPr>
      <xdr:spPr>
        <a:xfrm flipV="1">
          <a:off x="5483089" y="7226878"/>
          <a:ext cx="10440113" cy="38712"/>
        </a:xfrm>
        <a:prstGeom prst="straightConnector1">
          <a:avLst/>
        </a:prstGeom>
        <a:ln w="57150">
          <a:solidFill>
            <a:srgbClr val="0070C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889596</xdr:colOff>
      <xdr:row>12</xdr:row>
      <xdr:rowOff>300625</xdr:rowOff>
    </xdr:from>
    <xdr:to>
      <xdr:col>7</xdr:col>
      <xdr:colOff>1160320</xdr:colOff>
      <xdr:row>14</xdr:row>
      <xdr:rowOff>69273</xdr:rowOff>
    </xdr:to>
    <xdr:sp macro="" textlink="">
      <xdr:nvSpPr>
        <xdr:cNvPr id="4" name="正方形/長方形 3">
          <a:extLst>
            <a:ext uri="{FF2B5EF4-FFF2-40B4-BE49-F238E27FC236}">
              <a16:creationId xmlns:a16="http://schemas.microsoft.com/office/drawing/2014/main" id="{CDF555D6-2849-4806-A209-55D70E2F033D}"/>
            </a:ext>
          </a:extLst>
        </xdr:cNvPr>
        <xdr:cNvSpPr/>
      </xdr:nvSpPr>
      <xdr:spPr>
        <a:xfrm>
          <a:off x="9338271" y="6863350"/>
          <a:ext cx="1823299" cy="768773"/>
        </a:xfrm>
        <a:prstGeom prst="rect">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ja-JP" sz="1000" b="1">
              <a:solidFill>
                <a:sysClr val="windowText" lastClr="000000"/>
              </a:solidFill>
              <a:effectLst/>
              <a:latin typeface="Meiryo UI" panose="020B0604030504040204" pitchFamily="50" charset="-128"/>
              <a:ea typeface="Meiryo UI" panose="020B0604030504040204" pitchFamily="50" charset="-128"/>
              <a:cs typeface="+mn-cs"/>
            </a:rPr>
            <a:t>自動算出</a:t>
          </a:r>
          <a:endParaRPr lang="ja-JP" altLang="ja-JP" sz="1000">
            <a:solidFill>
              <a:sysClr val="windowText" lastClr="000000"/>
            </a:solidFill>
            <a:effectLst/>
            <a:latin typeface="Meiryo UI" panose="020B0604030504040204" pitchFamily="50" charset="-128"/>
            <a:ea typeface="Meiryo UI" panose="020B0604030504040204" pitchFamily="50" charset="-128"/>
          </a:endParaRPr>
        </a:p>
        <a:p>
          <a:pPr algn="ctr"/>
          <a:r>
            <a:rPr kumimoji="1" lang="en-US" altLang="ja-JP" sz="1000" b="1">
              <a:solidFill>
                <a:sysClr val="windowText" lastClr="000000"/>
              </a:solidFill>
              <a:effectLst/>
              <a:latin typeface="Meiryo UI" panose="020B0604030504040204" pitchFamily="50" charset="-128"/>
              <a:ea typeface="Meiryo UI" panose="020B0604030504040204" pitchFamily="50" charset="-128"/>
              <a:cs typeface="+mn-cs"/>
            </a:rPr>
            <a:t>&lt;</a:t>
          </a:r>
          <a:r>
            <a:rPr kumimoji="1" lang="ja-JP" altLang="ja-JP" sz="1000" b="1">
              <a:solidFill>
                <a:sysClr val="windowText" lastClr="000000"/>
              </a:solidFill>
              <a:effectLst/>
              <a:latin typeface="Meiryo UI" panose="020B0604030504040204" pitchFamily="50" charset="-128"/>
              <a:ea typeface="Meiryo UI" panose="020B0604030504040204" pitchFamily="50" charset="-128"/>
              <a:cs typeface="+mn-cs"/>
            </a:rPr>
            <a:t>避難者数</a:t>
          </a:r>
          <a:r>
            <a:rPr kumimoji="1" lang="en-US" altLang="ja-JP" sz="1000" b="1">
              <a:solidFill>
                <a:sysClr val="windowText" lastClr="000000"/>
              </a:solidFill>
              <a:effectLst/>
              <a:latin typeface="Meiryo UI" panose="020B0604030504040204" pitchFamily="50" charset="-128"/>
              <a:ea typeface="Meiryo UI" panose="020B0604030504040204" pitchFamily="50" charset="-128"/>
              <a:cs typeface="+mn-cs"/>
            </a:rPr>
            <a:t>×5</a:t>
          </a:r>
          <a:r>
            <a:rPr kumimoji="1" lang="ja-JP" altLang="ja-JP" sz="1000" b="1">
              <a:solidFill>
                <a:sysClr val="windowText" lastClr="000000"/>
              </a:solidFill>
              <a:effectLst/>
              <a:latin typeface="Meiryo UI" panose="020B0604030504040204" pitchFamily="50" charset="-128"/>
              <a:ea typeface="Meiryo UI" panose="020B0604030504040204" pitchFamily="50" charset="-128"/>
              <a:cs typeface="+mn-cs"/>
            </a:rPr>
            <a:t>回</a:t>
          </a:r>
          <a:r>
            <a:rPr kumimoji="1" lang="en-US" altLang="ja-JP" sz="1000" b="1">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ja-JP" sz="1000" b="1">
              <a:solidFill>
                <a:sysClr val="windowText" lastClr="000000"/>
              </a:solidFill>
              <a:effectLst/>
              <a:latin typeface="Meiryo UI" panose="020B0604030504040204" pitchFamily="50" charset="-128"/>
              <a:ea typeface="Meiryo UI" panose="020B0604030504040204" pitchFamily="50" charset="-128"/>
              <a:cs typeface="+mn-cs"/>
            </a:rPr>
            <a:t>日</a:t>
          </a:r>
          <a:r>
            <a:rPr kumimoji="1" lang="en-US" altLang="ja-JP" sz="1000" b="1">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ja-JP" sz="1000" b="1">
              <a:solidFill>
                <a:sysClr val="windowText" lastClr="000000"/>
              </a:solidFill>
              <a:effectLst/>
              <a:latin typeface="Meiryo UI" panose="020B0604030504040204" pitchFamily="50" charset="-128"/>
              <a:ea typeface="Meiryo UI" panose="020B0604030504040204" pitchFamily="50" charset="-128"/>
              <a:cs typeface="+mn-cs"/>
            </a:rPr>
            <a:t>日数</a:t>
          </a:r>
          <a:r>
            <a:rPr kumimoji="1" lang="en-US" altLang="ja-JP" sz="1000" b="1">
              <a:solidFill>
                <a:sysClr val="windowText" lastClr="000000"/>
              </a:solidFill>
              <a:effectLst/>
              <a:latin typeface="Meiryo UI" panose="020B0604030504040204" pitchFamily="50" charset="-128"/>
              <a:ea typeface="Meiryo UI" panose="020B0604030504040204" pitchFamily="50" charset="-128"/>
              <a:cs typeface="+mn-cs"/>
            </a:rPr>
            <a:t>&gt;</a:t>
          </a:r>
          <a:endParaRPr lang="ja-JP" altLang="ja-JP" sz="1000">
            <a:solidFill>
              <a:sysClr val="windowText" lastClr="000000"/>
            </a:solidFill>
            <a:effectLst/>
            <a:latin typeface="Meiryo UI" panose="020B0604030504040204" pitchFamily="50" charset="-128"/>
            <a:ea typeface="Meiryo UI" panose="020B0604030504040204" pitchFamily="50" charset="-128"/>
          </a:endParaRPr>
        </a:p>
      </xdr:txBody>
    </xdr:sp>
    <xdr:clientData/>
  </xdr:twoCellAnchor>
  <xdr:twoCellAnchor>
    <xdr:from>
      <xdr:col>10</xdr:col>
      <xdr:colOff>51955</xdr:colOff>
      <xdr:row>16</xdr:row>
      <xdr:rowOff>382506</xdr:rowOff>
    </xdr:from>
    <xdr:to>
      <xdr:col>11</xdr:col>
      <xdr:colOff>0</xdr:colOff>
      <xdr:row>16</xdr:row>
      <xdr:rowOff>382507</xdr:rowOff>
    </xdr:to>
    <xdr:cxnSp macro="">
      <xdr:nvCxnSpPr>
        <xdr:cNvPr id="5" name="直線矢印コネクタ 4">
          <a:extLst>
            <a:ext uri="{FF2B5EF4-FFF2-40B4-BE49-F238E27FC236}">
              <a16:creationId xmlns:a16="http://schemas.microsoft.com/office/drawing/2014/main" id="{5542FB3F-D9F8-4203-8DFB-8EA9A00CED95}"/>
            </a:ext>
          </a:extLst>
        </xdr:cNvPr>
        <xdr:cNvCxnSpPr/>
      </xdr:nvCxnSpPr>
      <xdr:spPr>
        <a:xfrm flipV="1">
          <a:off x="14710930" y="8859756"/>
          <a:ext cx="1500620" cy="1"/>
        </a:xfrm>
        <a:prstGeom prst="straightConnector1">
          <a:avLst/>
        </a:prstGeom>
        <a:ln w="57150">
          <a:solidFill>
            <a:srgbClr val="0070C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10</xdr:col>
      <xdr:colOff>142311</xdr:colOff>
      <xdr:row>14</xdr:row>
      <xdr:rowOff>404785</xdr:rowOff>
    </xdr:from>
    <xdr:to>
      <xdr:col>10</xdr:col>
      <xdr:colOff>1420091</xdr:colOff>
      <xdr:row>16</xdr:row>
      <xdr:rowOff>478134</xdr:rowOff>
    </xdr:to>
    <xdr:sp macro="" textlink="">
      <xdr:nvSpPr>
        <xdr:cNvPr id="6" name="正方形/長方形 5">
          <a:extLst>
            <a:ext uri="{FF2B5EF4-FFF2-40B4-BE49-F238E27FC236}">
              <a16:creationId xmlns:a16="http://schemas.microsoft.com/office/drawing/2014/main" id="{1084FC65-AFAD-41CB-9CFB-D775E40FAA6C}"/>
            </a:ext>
          </a:extLst>
        </xdr:cNvPr>
        <xdr:cNvSpPr/>
      </xdr:nvSpPr>
      <xdr:spPr>
        <a:xfrm>
          <a:off x="15035947" y="7730376"/>
          <a:ext cx="1277780" cy="973894"/>
        </a:xfrm>
        <a:prstGeom prst="rect">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ja-JP" sz="1100" b="1">
              <a:solidFill>
                <a:sysClr val="windowText" lastClr="000000"/>
              </a:solidFill>
              <a:effectLst/>
              <a:latin typeface="Meiryo UI" panose="020B0604030504040204" pitchFamily="50" charset="-128"/>
              <a:ea typeface="Meiryo UI" panose="020B0604030504040204" pitchFamily="50" charset="-128"/>
              <a:cs typeface="+mn-cs"/>
            </a:rPr>
            <a:t>自動算出</a:t>
          </a:r>
          <a:endParaRPr kumimoji="1" lang="en-US" altLang="ja-JP" sz="1100" b="1">
            <a:solidFill>
              <a:sysClr val="windowText" lastClr="000000"/>
            </a:solidFill>
            <a:effectLst/>
            <a:latin typeface="Meiryo UI" panose="020B0604030504040204" pitchFamily="50" charset="-128"/>
            <a:ea typeface="Meiryo UI" panose="020B0604030504040204" pitchFamily="50" charset="-128"/>
            <a:cs typeface="+mn-cs"/>
          </a:endParaRPr>
        </a:p>
        <a:p>
          <a:pPr algn="ctr"/>
          <a:r>
            <a:rPr kumimoji="1" lang="en-US" altLang="ja-JP" sz="1000" b="1">
              <a:solidFill>
                <a:sysClr val="windowText" lastClr="000000"/>
              </a:solidFill>
              <a:effectLst/>
              <a:latin typeface="Meiryo UI" panose="020B0604030504040204" pitchFamily="50" charset="-128"/>
              <a:ea typeface="Meiryo UI" panose="020B0604030504040204" pitchFamily="50" charset="-128"/>
              <a:cs typeface="+mn-cs"/>
            </a:rPr>
            <a:t>&lt;</a:t>
          </a:r>
          <a:r>
            <a:rPr kumimoji="1" lang="ja-JP" altLang="en-US" sz="1000" b="1">
              <a:solidFill>
                <a:sysClr val="windowText" lastClr="000000"/>
              </a:solidFill>
              <a:effectLst/>
              <a:latin typeface="Meiryo UI" panose="020B0604030504040204" pitchFamily="50" charset="-128"/>
              <a:ea typeface="Meiryo UI" panose="020B0604030504040204" pitchFamily="50" charset="-128"/>
              <a:cs typeface="+mn-cs"/>
            </a:rPr>
            <a:t>必要回数</a:t>
          </a:r>
          <a:endParaRPr kumimoji="1" lang="en-US" altLang="ja-JP" sz="1000" b="1">
            <a:solidFill>
              <a:sysClr val="windowText" lastClr="000000"/>
            </a:solidFill>
            <a:effectLst/>
            <a:latin typeface="Meiryo UI" panose="020B0604030504040204" pitchFamily="50" charset="-128"/>
            <a:ea typeface="Meiryo UI" panose="020B0604030504040204" pitchFamily="50" charset="-128"/>
            <a:cs typeface="+mn-cs"/>
          </a:endParaRPr>
        </a:p>
        <a:p>
          <a:pPr algn="ctr"/>
          <a:r>
            <a:rPr kumimoji="1" lang="en-US" altLang="ja-JP" sz="1000" b="1">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en-US" sz="1000" b="1">
              <a:solidFill>
                <a:sysClr val="windowText" lastClr="000000"/>
              </a:solidFill>
              <a:effectLst/>
              <a:latin typeface="Meiryo UI" panose="020B0604030504040204" pitchFamily="50" charset="-128"/>
              <a:ea typeface="Meiryo UI" panose="020B0604030504040204" pitchFamily="50" charset="-128"/>
              <a:cs typeface="+mn-cs"/>
            </a:rPr>
            <a:t>備蓄数（回数）</a:t>
          </a:r>
          <a:r>
            <a:rPr kumimoji="1" lang="en-US" altLang="ja-JP" sz="1000" b="1">
              <a:solidFill>
                <a:sysClr val="windowText" lastClr="000000"/>
              </a:solidFill>
              <a:effectLst/>
              <a:latin typeface="Meiryo UI" panose="020B0604030504040204" pitchFamily="50" charset="-128"/>
              <a:ea typeface="Meiryo UI" panose="020B0604030504040204" pitchFamily="50" charset="-128"/>
              <a:cs typeface="+mn-cs"/>
            </a:rPr>
            <a:t>&gt;</a:t>
          </a:r>
        </a:p>
      </xdr:txBody>
    </xdr:sp>
    <xdr:clientData/>
  </xdr:twoCellAnchor>
  <xdr:twoCellAnchor>
    <xdr:from>
      <xdr:col>7</xdr:col>
      <xdr:colOff>1367117</xdr:colOff>
      <xdr:row>14</xdr:row>
      <xdr:rowOff>68253</xdr:rowOff>
    </xdr:from>
    <xdr:to>
      <xdr:col>9</xdr:col>
      <xdr:colOff>727364</xdr:colOff>
      <xdr:row>17</xdr:row>
      <xdr:rowOff>64179</xdr:rowOff>
    </xdr:to>
    <xdr:sp macro="" textlink="">
      <xdr:nvSpPr>
        <xdr:cNvPr id="7" name="吹き出し: 四角形 6">
          <a:extLst>
            <a:ext uri="{FF2B5EF4-FFF2-40B4-BE49-F238E27FC236}">
              <a16:creationId xmlns:a16="http://schemas.microsoft.com/office/drawing/2014/main" id="{C1A2A273-83DA-4F98-A5D4-ADCFF863FE37}"/>
            </a:ext>
          </a:extLst>
        </xdr:cNvPr>
        <xdr:cNvSpPr/>
      </xdr:nvSpPr>
      <xdr:spPr>
        <a:xfrm>
          <a:off x="11368367" y="7631103"/>
          <a:ext cx="2465397" cy="1491351"/>
        </a:xfrm>
        <a:prstGeom prst="wedgeRectCallout">
          <a:avLst>
            <a:gd name="adj1" fmla="val 37454"/>
            <a:gd name="adj2" fmla="val 114572"/>
          </a:avLst>
        </a:prstGeom>
        <a:solidFill>
          <a:schemeClr val="bg1"/>
        </a:solidFill>
        <a:ln>
          <a:solidFill>
            <a:schemeClr val="tx1"/>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000" b="0">
              <a:solidFill>
                <a:srgbClr val="FF0000"/>
              </a:solidFill>
              <a:latin typeface="Meiryo UI" panose="020B0604030504040204" pitchFamily="50" charset="-128"/>
              <a:ea typeface="Meiryo UI" panose="020B0604030504040204" pitchFamily="50" charset="-128"/>
            </a:rPr>
            <a:t>（ご参考：便槽・キャパシティによる）</a:t>
          </a:r>
          <a:endParaRPr kumimoji="1" lang="en-US" altLang="ja-JP" sz="1000" b="0">
            <a:solidFill>
              <a:srgbClr val="FF0000"/>
            </a:solidFill>
            <a:latin typeface="Meiryo UI" panose="020B0604030504040204" pitchFamily="50" charset="-128"/>
            <a:ea typeface="Meiryo UI" panose="020B0604030504040204" pitchFamily="50" charset="-128"/>
          </a:endParaRPr>
        </a:p>
        <a:p>
          <a:pPr algn="l"/>
          <a:r>
            <a:rPr kumimoji="1" lang="ja-JP" altLang="en-US" sz="1000" b="0">
              <a:solidFill>
                <a:srgbClr val="FF0000"/>
              </a:solidFill>
              <a:latin typeface="Meiryo UI" panose="020B0604030504040204" pitchFamily="50" charset="-128"/>
              <a:ea typeface="Meiryo UI" panose="020B0604030504040204" pitchFamily="50" charset="-128"/>
            </a:rPr>
            <a:t>携帯トイレ：個数＝回数</a:t>
          </a:r>
        </a:p>
        <a:p>
          <a:pPr algn="l"/>
          <a:r>
            <a:rPr kumimoji="1" lang="ja-JP" altLang="en-US" sz="1000" b="0">
              <a:solidFill>
                <a:srgbClr val="FF0000"/>
              </a:solidFill>
              <a:latin typeface="Meiryo UI" panose="020B0604030504040204" pitchFamily="50" charset="-128"/>
              <a:ea typeface="Meiryo UI" panose="020B0604030504040204" pitchFamily="50" charset="-128"/>
            </a:rPr>
            <a:t>簡易トイレ：付属物数＝回数</a:t>
          </a:r>
        </a:p>
        <a:p>
          <a:pPr algn="l"/>
          <a:r>
            <a:rPr kumimoji="1" lang="ja-JP" altLang="en-US" sz="1000" b="0">
              <a:solidFill>
                <a:srgbClr val="FF0000"/>
              </a:solidFill>
              <a:latin typeface="Meiryo UI" panose="020B0604030504040204" pitchFamily="50" charset="-128"/>
              <a:ea typeface="Meiryo UI" panose="020B0604030504040204" pitchFamily="50" charset="-128"/>
            </a:rPr>
            <a:t>仮設トイレ：</a:t>
          </a:r>
          <a:r>
            <a:rPr kumimoji="1" lang="en-US" altLang="ja-JP" sz="1000" b="0">
              <a:solidFill>
                <a:srgbClr val="FF0000"/>
              </a:solidFill>
              <a:latin typeface="Meiryo UI" panose="020B0604030504040204" pitchFamily="50" charset="-128"/>
              <a:ea typeface="Meiryo UI" panose="020B0604030504040204" pitchFamily="50" charset="-128"/>
            </a:rPr>
            <a:t>1</a:t>
          </a:r>
          <a:r>
            <a:rPr kumimoji="1" lang="ja-JP" altLang="en-US" sz="1000" b="0">
              <a:solidFill>
                <a:srgbClr val="FF0000"/>
              </a:solidFill>
              <a:latin typeface="Meiryo UI" panose="020B0604030504040204" pitchFamily="50" charset="-128"/>
              <a:ea typeface="Meiryo UI" panose="020B0604030504040204" pitchFamily="50" charset="-128"/>
            </a:rPr>
            <a:t>基＝</a:t>
          </a:r>
          <a:r>
            <a:rPr kumimoji="1" lang="en-US" altLang="ja-JP" sz="1000" b="0">
              <a:solidFill>
                <a:srgbClr val="FF0000"/>
              </a:solidFill>
              <a:latin typeface="Meiryo UI" panose="020B0604030504040204" pitchFamily="50" charset="-128"/>
              <a:ea typeface="Meiryo UI" panose="020B0604030504040204" pitchFamily="50" charset="-128"/>
            </a:rPr>
            <a:t>700</a:t>
          </a:r>
          <a:r>
            <a:rPr kumimoji="1" lang="ja-JP" altLang="en-US" sz="1000" b="0">
              <a:solidFill>
                <a:srgbClr val="FF0000"/>
              </a:solidFill>
              <a:latin typeface="Meiryo UI" panose="020B0604030504040204" pitchFamily="50" charset="-128"/>
              <a:ea typeface="Meiryo UI" panose="020B0604030504040204" pitchFamily="50" charset="-128"/>
            </a:rPr>
            <a:t>回</a:t>
          </a:r>
        </a:p>
        <a:p>
          <a:pPr algn="l"/>
          <a:r>
            <a:rPr kumimoji="1" lang="ja-JP" altLang="en-US" sz="1000" b="0">
              <a:solidFill>
                <a:srgbClr val="FF0000"/>
              </a:solidFill>
              <a:latin typeface="Meiryo UI" panose="020B0604030504040204" pitchFamily="50" charset="-128"/>
              <a:ea typeface="Meiryo UI" panose="020B0604030504040204" pitchFamily="50" charset="-128"/>
            </a:rPr>
            <a:t>マンホールトイレ：</a:t>
          </a:r>
          <a:r>
            <a:rPr kumimoji="1" lang="en-US" altLang="ja-JP" sz="1000" b="0">
              <a:solidFill>
                <a:srgbClr val="FF0000"/>
              </a:solidFill>
              <a:latin typeface="Meiryo UI" panose="020B0604030504040204" pitchFamily="50" charset="-128"/>
              <a:ea typeface="Meiryo UI" panose="020B0604030504040204" pitchFamily="50" charset="-128"/>
            </a:rPr>
            <a:t>1</a:t>
          </a:r>
          <a:r>
            <a:rPr kumimoji="1" lang="ja-JP" altLang="en-US" sz="1000" b="0">
              <a:solidFill>
                <a:srgbClr val="FF0000"/>
              </a:solidFill>
              <a:latin typeface="Meiryo UI" panose="020B0604030504040204" pitchFamily="50" charset="-128"/>
              <a:ea typeface="Meiryo UI" panose="020B0604030504040204" pitchFamily="50" charset="-128"/>
            </a:rPr>
            <a:t>基＝</a:t>
          </a:r>
          <a:r>
            <a:rPr kumimoji="1" lang="en-US" altLang="ja-JP" sz="1000" b="0">
              <a:solidFill>
                <a:srgbClr val="FF0000"/>
              </a:solidFill>
              <a:latin typeface="Meiryo UI" panose="020B0604030504040204" pitchFamily="50" charset="-128"/>
              <a:ea typeface="Meiryo UI" panose="020B0604030504040204" pitchFamily="50" charset="-128"/>
            </a:rPr>
            <a:t>500</a:t>
          </a:r>
          <a:r>
            <a:rPr kumimoji="1" lang="ja-JP" altLang="en-US" sz="1000" b="0">
              <a:solidFill>
                <a:srgbClr val="FF0000"/>
              </a:solidFill>
              <a:latin typeface="Meiryo UI" panose="020B0604030504040204" pitchFamily="50" charset="-128"/>
              <a:ea typeface="Meiryo UI" panose="020B0604030504040204" pitchFamily="50" charset="-128"/>
            </a:rPr>
            <a:t>回</a:t>
          </a:r>
        </a:p>
        <a:p>
          <a:pPr algn="l"/>
          <a:r>
            <a:rPr kumimoji="1" lang="ja-JP" altLang="en-US" sz="1000" b="0">
              <a:solidFill>
                <a:srgbClr val="FF0000"/>
              </a:solidFill>
              <a:latin typeface="Meiryo UI" panose="020B0604030504040204" pitchFamily="50" charset="-128"/>
              <a:ea typeface="Meiryo UI" panose="020B0604030504040204" pitchFamily="50" charset="-128"/>
            </a:rPr>
            <a:t>トイレカー：</a:t>
          </a:r>
          <a:r>
            <a:rPr kumimoji="1" lang="en-US" altLang="ja-JP" sz="1000" b="0">
              <a:solidFill>
                <a:srgbClr val="FF0000"/>
              </a:solidFill>
              <a:latin typeface="Meiryo UI" panose="020B0604030504040204" pitchFamily="50" charset="-128"/>
              <a:ea typeface="Meiryo UI" panose="020B0604030504040204" pitchFamily="50" charset="-128"/>
            </a:rPr>
            <a:t>1</a:t>
          </a:r>
          <a:r>
            <a:rPr kumimoji="1" lang="ja-JP" altLang="en-US" sz="1000" b="0">
              <a:solidFill>
                <a:srgbClr val="FF0000"/>
              </a:solidFill>
              <a:latin typeface="Meiryo UI" panose="020B0604030504040204" pitchFamily="50" charset="-128"/>
              <a:ea typeface="Meiryo UI" panose="020B0604030504040204" pitchFamily="50" charset="-128"/>
            </a:rPr>
            <a:t>基＝</a:t>
          </a:r>
          <a:r>
            <a:rPr kumimoji="1" lang="en-US" altLang="ja-JP" sz="1000" b="0">
              <a:solidFill>
                <a:srgbClr val="FF0000"/>
              </a:solidFill>
              <a:latin typeface="Meiryo UI" panose="020B0604030504040204" pitchFamily="50" charset="-128"/>
              <a:ea typeface="Meiryo UI" panose="020B0604030504040204" pitchFamily="50" charset="-128"/>
            </a:rPr>
            <a:t>60</a:t>
          </a:r>
          <a:r>
            <a:rPr kumimoji="1" lang="ja-JP" altLang="en-US" sz="1000" b="0">
              <a:solidFill>
                <a:srgbClr val="FF0000"/>
              </a:solidFill>
              <a:latin typeface="Meiryo UI" panose="020B0604030504040204" pitchFamily="50" charset="-128"/>
              <a:ea typeface="Meiryo UI" panose="020B0604030504040204" pitchFamily="50" charset="-128"/>
            </a:rPr>
            <a:t>回</a:t>
          </a:r>
        </a:p>
      </xdr:txBody>
    </xdr:sp>
    <xdr:clientData/>
  </xdr:twoCellAnchor>
  <xdr:twoCellAnchor>
    <xdr:from>
      <xdr:col>10</xdr:col>
      <xdr:colOff>389812</xdr:colOff>
      <xdr:row>18</xdr:row>
      <xdr:rowOff>425824</xdr:rowOff>
    </xdr:from>
    <xdr:to>
      <xdr:col>13</xdr:col>
      <xdr:colOff>537882</xdr:colOff>
      <xdr:row>25</xdr:row>
      <xdr:rowOff>62803</xdr:rowOff>
    </xdr:to>
    <xdr:sp macro="" textlink="">
      <xdr:nvSpPr>
        <xdr:cNvPr id="8" name="正方形/長方形 7">
          <a:extLst>
            <a:ext uri="{FF2B5EF4-FFF2-40B4-BE49-F238E27FC236}">
              <a16:creationId xmlns:a16="http://schemas.microsoft.com/office/drawing/2014/main" id="{E371C761-FDF8-4D56-B8FA-A2C3875D4D5C}"/>
            </a:ext>
          </a:extLst>
        </xdr:cNvPr>
        <xdr:cNvSpPr/>
      </xdr:nvSpPr>
      <xdr:spPr>
        <a:xfrm>
          <a:off x="15260018" y="9749118"/>
          <a:ext cx="4820923" cy="2875479"/>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000" b="0">
              <a:solidFill>
                <a:srgbClr val="FF0000"/>
              </a:solidFill>
              <a:effectLst/>
              <a:latin typeface="Meiryo UI" panose="020B0604030504040204" pitchFamily="50" charset="-128"/>
              <a:ea typeface="Meiryo UI" panose="020B0604030504040204" pitchFamily="50" charset="-128"/>
              <a:cs typeface="+mn-cs"/>
            </a:rPr>
            <a:t>※</a:t>
          </a:r>
          <a:r>
            <a:rPr kumimoji="1" lang="ja-JP" altLang="en-US" sz="1000" b="0">
              <a:solidFill>
                <a:srgbClr val="FF0000"/>
              </a:solidFill>
              <a:effectLst/>
              <a:latin typeface="Meiryo UI" panose="020B0604030504040204" pitchFamily="50" charset="-128"/>
              <a:ea typeface="Meiryo UI" panose="020B0604030504040204" pitchFamily="50" charset="-128"/>
              <a:cs typeface="+mn-cs"/>
            </a:rPr>
            <a:t>本シートは回数ベースで算定するものである。既に排水機能が確保されている場合は、基数を考慮することになるため、本シートによる回数ベース判定の対象外としている。</a:t>
          </a:r>
          <a:endParaRPr kumimoji="1" lang="en-US" altLang="ja-JP" sz="1000" b="0">
            <a:solidFill>
              <a:srgbClr val="FF0000"/>
            </a:solidFill>
            <a:effectLst/>
            <a:latin typeface="Meiryo UI" panose="020B0604030504040204" pitchFamily="50" charset="-128"/>
            <a:ea typeface="Meiryo UI" panose="020B0604030504040204" pitchFamily="50" charset="-128"/>
            <a:cs typeface="+mn-cs"/>
          </a:endParaRPr>
        </a:p>
        <a:p>
          <a:pPr algn="l"/>
          <a:r>
            <a:rPr kumimoji="1" lang="ja-JP" altLang="en-US" sz="1000" b="0">
              <a:solidFill>
                <a:srgbClr val="FF0000"/>
              </a:solidFill>
              <a:effectLst/>
              <a:latin typeface="Meiryo UI" panose="020B0604030504040204" pitchFamily="50" charset="-128"/>
              <a:ea typeface="Meiryo UI" panose="020B0604030504040204" pitchFamily="50" charset="-128"/>
              <a:cs typeface="+mn-cs"/>
            </a:rPr>
            <a:t>そのため、水洗トイレやマンホールトイレ（本管直結型、貯留型のうち下水への放流をしている状態のもの）は本シートの対象外。</a:t>
          </a:r>
          <a:endParaRPr kumimoji="1" lang="en-US" altLang="ja-JP" sz="1000" b="0">
            <a:solidFill>
              <a:srgbClr val="FF0000"/>
            </a:solidFill>
            <a:effectLst/>
            <a:latin typeface="Meiryo UI" panose="020B0604030504040204" pitchFamily="50" charset="-128"/>
            <a:ea typeface="Meiryo UI" panose="020B0604030504040204" pitchFamily="50" charset="-128"/>
            <a:cs typeface="+mn-cs"/>
          </a:endParaRPr>
        </a:p>
        <a:p>
          <a:pPr algn="l"/>
          <a:r>
            <a:rPr kumimoji="1" lang="en-US" altLang="ja-JP" sz="1000" b="0">
              <a:solidFill>
                <a:srgbClr val="FF0000"/>
              </a:solidFill>
              <a:effectLst/>
              <a:latin typeface="Meiryo UI" panose="020B0604030504040204" pitchFamily="50" charset="-128"/>
              <a:ea typeface="Meiryo UI" panose="020B0604030504040204" pitchFamily="50" charset="-128"/>
              <a:cs typeface="+mn-cs"/>
            </a:rPr>
            <a:t>※</a:t>
          </a:r>
          <a:r>
            <a:rPr kumimoji="1" lang="ja-JP" altLang="en-US" sz="1000" b="0">
              <a:solidFill>
                <a:srgbClr val="FF0000"/>
              </a:solidFill>
              <a:effectLst/>
              <a:latin typeface="Meiryo UI" panose="020B0604030504040204" pitchFamily="50" charset="-128"/>
              <a:ea typeface="Meiryo UI" panose="020B0604030504040204" pitchFamily="50" charset="-128"/>
              <a:cs typeface="+mn-cs"/>
            </a:rPr>
            <a:t>し尿処理発生量・仮設トイレにおける汲み取り必要回数については「避難所におけるトイレの確保・管理ガイドライン」（令和６年</a:t>
          </a:r>
          <a:r>
            <a:rPr kumimoji="1" lang="en-US" altLang="ja-JP" sz="1000" b="0">
              <a:solidFill>
                <a:srgbClr val="FF0000"/>
              </a:solidFill>
              <a:effectLst/>
              <a:latin typeface="Meiryo UI" panose="020B0604030504040204" pitchFamily="50" charset="-128"/>
              <a:ea typeface="Meiryo UI" panose="020B0604030504040204" pitchFamily="50" charset="-128"/>
              <a:cs typeface="+mn-cs"/>
            </a:rPr>
            <a:t>12</a:t>
          </a:r>
          <a:r>
            <a:rPr kumimoji="1" lang="ja-JP" altLang="en-US" sz="1000" b="0">
              <a:solidFill>
                <a:srgbClr val="FF0000"/>
              </a:solidFill>
              <a:effectLst/>
              <a:latin typeface="Meiryo UI" panose="020B0604030504040204" pitchFamily="50" charset="-128"/>
              <a:ea typeface="Meiryo UI" panose="020B0604030504040204" pitchFamily="50" charset="-128"/>
              <a:cs typeface="+mn-cs"/>
            </a:rPr>
            <a:t>月改定）</a:t>
          </a:r>
          <a:r>
            <a:rPr kumimoji="1" lang="en-US" altLang="ja-JP" sz="1000" b="0">
              <a:solidFill>
                <a:srgbClr val="FF0000"/>
              </a:solidFill>
              <a:effectLst/>
              <a:latin typeface="Meiryo UI" panose="020B0604030504040204" pitchFamily="50" charset="-128"/>
              <a:ea typeface="Meiryo UI" panose="020B0604030504040204" pitchFamily="50" charset="-128"/>
              <a:cs typeface="+mn-cs"/>
            </a:rPr>
            <a:t>p27</a:t>
          </a:r>
          <a:r>
            <a:rPr kumimoji="1" lang="ja-JP" altLang="en-US" sz="1000" b="0">
              <a:solidFill>
                <a:srgbClr val="FF0000"/>
              </a:solidFill>
              <a:effectLst/>
              <a:latin typeface="Meiryo UI" panose="020B0604030504040204" pitchFamily="50" charset="-128"/>
              <a:ea typeface="Meiryo UI" panose="020B0604030504040204" pitchFamily="50" charset="-128"/>
              <a:cs typeface="+mn-cs"/>
            </a:rPr>
            <a:t>を参照すること。（例：１回あたりのし尿発生量は</a:t>
          </a:r>
          <a:r>
            <a:rPr kumimoji="1" lang="en-US" altLang="ja-JP" sz="1000" b="0">
              <a:solidFill>
                <a:srgbClr val="FF0000"/>
              </a:solidFill>
              <a:effectLst/>
              <a:latin typeface="Meiryo UI" panose="020B0604030504040204" pitchFamily="50" charset="-128"/>
              <a:ea typeface="Meiryo UI" panose="020B0604030504040204" pitchFamily="50" charset="-128"/>
              <a:cs typeface="+mn-cs"/>
            </a:rPr>
            <a:t>300ml</a:t>
          </a:r>
          <a:r>
            <a:rPr kumimoji="1" lang="ja-JP" altLang="en-US" sz="1000" b="0">
              <a:solidFill>
                <a:srgbClr val="FF0000"/>
              </a:solidFill>
              <a:effectLst/>
              <a:latin typeface="Meiryo UI" panose="020B0604030504040204" pitchFamily="50" charset="-128"/>
              <a:ea typeface="Meiryo UI" panose="020B0604030504040204" pitchFamily="50" charset="-128"/>
              <a:cs typeface="+mn-cs"/>
            </a:rPr>
            <a:t>、洗浄水は</a:t>
          </a:r>
          <a:r>
            <a:rPr kumimoji="1" lang="en-US" altLang="ja-JP" sz="1000" b="0">
              <a:solidFill>
                <a:srgbClr val="FF0000"/>
              </a:solidFill>
              <a:effectLst/>
              <a:latin typeface="Meiryo UI" panose="020B0604030504040204" pitchFamily="50" charset="-128"/>
              <a:ea typeface="Meiryo UI" panose="020B0604030504040204" pitchFamily="50" charset="-128"/>
              <a:cs typeface="+mn-cs"/>
            </a:rPr>
            <a:t>200ml</a:t>
          </a:r>
          <a:r>
            <a:rPr kumimoji="1" lang="ja-JP" altLang="en-US" sz="1000" b="0">
              <a:solidFill>
                <a:srgbClr val="FF0000"/>
              </a:solidFill>
              <a:effectLst/>
              <a:latin typeface="Meiryo UI" panose="020B0604030504040204" pitchFamily="50" charset="-128"/>
              <a:ea typeface="Meiryo UI" panose="020B0604030504040204" pitchFamily="50" charset="-128"/>
              <a:cs typeface="+mn-cs"/>
            </a:rPr>
            <a:t>）</a:t>
          </a:r>
          <a:endParaRPr kumimoji="1" lang="en-US" altLang="ja-JP" sz="1000" b="0">
            <a:solidFill>
              <a:srgbClr val="FF0000"/>
            </a:solidFill>
            <a:effectLst/>
            <a:latin typeface="Meiryo UI" panose="020B0604030504040204" pitchFamily="50" charset="-128"/>
            <a:ea typeface="Meiryo UI" panose="020B0604030504040204" pitchFamily="50" charset="-128"/>
            <a:cs typeface="+mn-cs"/>
          </a:endParaRPr>
        </a:p>
        <a:p>
          <a:pPr algn="l"/>
          <a:r>
            <a:rPr kumimoji="1" lang="en-US" altLang="ja-JP" sz="1000" b="0">
              <a:solidFill>
                <a:srgbClr val="FF0000"/>
              </a:solidFill>
              <a:effectLst/>
              <a:latin typeface="Meiryo UI" panose="020B0604030504040204" pitchFamily="50" charset="-128"/>
              <a:ea typeface="Meiryo UI" panose="020B0604030504040204" pitchFamily="50" charset="-128"/>
              <a:cs typeface="+mn-cs"/>
            </a:rPr>
            <a:t>※</a:t>
          </a:r>
          <a:r>
            <a:rPr kumimoji="1" lang="ja-JP" altLang="en-US" sz="1000" b="0">
              <a:solidFill>
                <a:srgbClr val="FF0000"/>
              </a:solidFill>
              <a:effectLst/>
              <a:latin typeface="Meiryo UI" panose="020B0604030504040204" pitchFamily="50" charset="-128"/>
              <a:ea typeface="Meiryo UI" panose="020B0604030504040204" pitchFamily="50" charset="-128"/>
              <a:cs typeface="+mn-cs"/>
            </a:rPr>
            <a:t>スフィア基準に沿って女性用と男性用の割合が３：１となるように避難者に応じて対応すること。</a:t>
          </a:r>
          <a:endParaRPr kumimoji="1" lang="en-US" altLang="ja-JP" sz="1000" b="0">
            <a:solidFill>
              <a:srgbClr val="FF0000"/>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6</xdr:col>
      <xdr:colOff>864484</xdr:colOff>
      <xdr:row>25</xdr:row>
      <xdr:rowOff>229209</xdr:rowOff>
    </xdr:from>
    <xdr:to>
      <xdr:col>8</xdr:col>
      <xdr:colOff>658091</xdr:colOff>
      <xdr:row>27</xdr:row>
      <xdr:rowOff>17318</xdr:rowOff>
    </xdr:to>
    <xdr:sp macro="" textlink="">
      <xdr:nvSpPr>
        <xdr:cNvPr id="10" name="吹き出し: 四角形 9">
          <a:extLst>
            <a:ext uri="{FF2B5EF4-FFF2-40B4-BE49-F238E27FC236}">
              <a16:creationId xmlns:a16="http://schemas.microsoft.com/office/drawing/2014/main" id="{80C8B4A9-7B47-490B-9FAE-6B61BD0399EE}"/>
            </a:ext>
          </a:extLst>
        </xdr:cNvPr>
        <xdr:cNvSpPr/>
      </xdr:nvSpPr>
      <xdr:spPr>
        <a:xfrm>
          <a:off x="9523575" y="12680982"/>
          <a:ext cx="2910880" cy="688654"/>
        </a:xfrm>
        <a:prstGeom prst="wedgeRectCallout">
          <a:avLst>
            <a:gd name="adj1" fmla="val -247299"/>
            <a:gd name="adj2" fmla="val -164319"/>
          </a:avLst>
        </a:prstGeom>
        <a:solidFill>
          <a:schemeClr val="bg1"/>
        </a:solidFill>
        <a:ln>
          <a:solidFill>
            <a:schemeClr val="tx1"/>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000" b="0">
              <a:solidFill>
                <a:srgbClr val="FF0000"/>
              </a:solidFill>
              <a:latin typeface="Meiryo UI" panose="020B0604030504040204" pitchFamily="50" charset="-128"/>
              <a:ea typeface="Meiryo UI" panose="020B0604030504040204" pitchFamily="50" charset="-128"/>
            </a:rPr>
            <a:t>トイレカーは、台数ではなく、基数を入力すること</a:t>
          </a:r>
          <a:endParaRPr kumimoji="1" lang="en-US" altLang="ja-JP" sz="1000" b="0">
            <a:solidFill>
              <a:srgbClr val="FF0000"/>
            </a:solidFill>
            <a:latin typeface="Meiryo UI" panose="020B0604030504040204" pitchFamily="50" charset="-128"/>
            <a:ea typeface="Meiryo UI" panose="020B0604030504040204" pitchFamily="50" charset="-128"/>
          </a:endParaRPr>
        </a:p>
        <a:p>
          <a:pPr algn="l"/>
          <a:r>
            <a:rPr kumimoji="1" lang="ja-JP" altLang="en-US" sz="1000" b="0">
              <a:solidFill>
                <a:srgbClr val="FF0000"/>
              </a:solidFill>
              <a:latin typeface="Meiryo UI" panose="020B0604030504040204" pitchFamily="50" charset="-128"/>
              <a:ea typeface="Meiryo UI" panose="020B0604030504040204" pitchFamily="50" charset="-128"/>
            </a:rPr>
            <a:t>便槽や汲み取り頻度は実際のスペックに合わせること。</a:t>
          </a:r>
          <a:endParaRPr kumimoji="1" lang="en-US" altLang="ja-JP" sz="1000" b="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8</xdr:col>
      <xdr:colOff>1001309</xdr:colOff>
      <xdr:row>66</xdr:row>
      <xdr:rowOff>180933</xdr:rowOff>
    </xdr:from>
    <xdr:to>
      <xdr:col>12</xdr:col>
      <xdr:colOff>1416325</xdr:colOff>
      <xdr:row>68</xdr:row>
      <xdr:rowOff>248167</xdr:rowOff>
    </xdr:to>
    <xdr:sp macro="" textlink="">
      <xdr:nvSpPr>
        <xdr:cNvPr id="11" name="正方形/長方形 10">
          <a:extLst>
            <a:ext uri="{FF2B5EF4-FFF2-40B4-BE49-F238E27FC236}">
              <a16:creationId xmlns:a16="http://schemas.microsoft.com/office/drawing/2014/main" id="{B4B03C42-7AF6-41D0-A97D-2CC8ABA6DA47}"/>
            </a:ext>
          </a:extLst>
        </xdr:cNvPr>
        <xdr:cNvSpPr/>
      </xdr:nvSpPr>
      <xdr:spPr>
        <a:xfrm>
          <a:off x="12555134" y="28594008"/>
          <a:ext cx="6625316" cy="1019734"/>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000" b="0">
              <a:solidFill>
                <a:srgbClr val="FF0000"/>
              </a:solidFill>
              <a:effectLst/>
              <a:latin typeface="Meiryo UI" panose="020B0604030504040204" pitchFamily="50" charset="-128"/>
              <a:ea typeface="Meiryo UI" panose="020B0604030504040204" pitchFamily="50" charset="-128"/>
              <a:cs typeface="+mn-cs"/>
            </a:rPr>
            <a:t>※</a:t>
          </a:r>
          <a:r>
            <a:rPr kumimoji="1" lang="ja-JP" altLang="en-US" sz="1000" b="0">
              <a:solidFill>
                <a:srgbClr val="FF0000"/>
              </a:solidFill>
              <a:effectLst/>
              <a:latin typeface="Meiryo UI" panose="020B0604030504040204" pitchFamily="50" charset="-128"/>
              <a:ea typeface="Meiryo UI" panose="020B0604030504040204" pitchFamily="50" charset="-128"/>
              <a:cs typeface="+mn-cs"/>
            </a:rPr>
            <a:t>トイレの整備・設置にあたっては、下記ガイドライン等も参考にすること</a:t>
          </a:r>
          <a:endParaRPr kumimoji="1" lang="en-US" altLang="ja-JP" sz="1000" b="0">
            <a:solidFill>
              <a:srgbClr val="FF0000"/>
            </a:solidFill>
            <a:effectLst/>
            <a:latin typeface="Meiryo UI" panose="020B0604030504040204" pitchFamily="50" charset="-128"/>
            <a:ea typeface="Meiryo UI" panose="020B0604030504040204" pitchFamily="50" charset="-128"/>
            <a:cs typeface="+mn-cs"/>
          </a:endParaRPr>
        </a:p>
        <a:p>
          <a:pPr algn="l"/>
          <a:r>
            <a:rPr kumimoji="1" lang="ja-JP" altLang="en-US" sz="1000" b="0">
              <a:solidFill>
                <a:srgbClr val="FF0000"/>
              </a:solidFill>
              <a:effectLst/>
              <a:latin typeface="Meiryo UI" panose="020B0604030504040204" pitchFamily="50" charset="-128"/>
              <a:ea typeface="Meiryo UI" panose="020B0604030504040204" pitchFamily="50" charset="-128"/>
              <a:cs typeface="+mn-cs"/>
            </a:rPr>
            <a:t>　・避難所におけるトイレの確保・管理ガイドライン（令和６年</a:t>
          </a:r>
          <a:r>
            <a:rPr kumimoji="1" lang="en-US" altLang="ja-JP" sz="1000" b="0">
              <a:solidFill>
                <a:srgbClr val="FF0000"/>
              </a:solidFill>
              <a:effectLst/>
              <a:latin typeface="Meiryo UI" panose="020B0604030504040204" pitchFamily="50" charset="-128"/>
              <a:ea typeface="Meiryo UI" panose="020B0604030504040204" pitchFamily="50" charset="-128"/>
              <a:cs typeface="+mn-cs"/>
            </a:rPr>
            <a:t>12</a:t>
          </a:r>
          <a:r>
            <a:rPr kumimoji="1" lang="ja-JP" altLang="en-US" sz="1000" b="0">
              <a:solidFill>
                <a:srgbClr val="FF0000"/>
              </a:solidFill>
              <a:effectLst/>
              <a:latin typeface="Meiryo UI" panose="020B0604030504040204" pitchFamily="50" charset="-128"/>
              <a:ea typeface="Meiryo UI" panose="020B0604030504040204" pitchFamily="50" charset="-128"/>
              <a:cs typeface="+mn-cs"/>
            </a:rPr>
            <a:t>月改定　（内閣府防災担当））</a:t>
          </a:r>
          <a:endParaRPr kumimoji="1" lang="en-US" altLang="ja-JP" sz="1000" b="0">
            <a:solidFill>
              <a:srgbClr val="FF0000"/>
            </a:solidFill>
            <a:effectLst/>
            <a:latin typeface="Meiryo UI" panose="020B0604030504040204" pitchFamily="50" charset="-128"/>
            <a:ea typeface="Meiryo UI" panose="020B0604030504040204" pitchFamily="50" charset="-128"/>
            <a:cs typeface="+mn-cs"/>
          </a:endParaRPr>
        </a:p>
        <a:p>
          <a:pPr algn="l"/>
          <a:r>
            <a:rPr kumimoji="1" lang="ja-JP" altLang="en-US" sz="1000" b="0">
              <a:solidFill>
                <a:srgbClr val="FF0000"/>
              </a:solidFill>
              <a:effectLst/>
              <a:latin typeface="Meiryo UI" panose="020B0604030504040204" pitchFamily="50" charset="-128"/>
              <a:ea typeface="Meiryo UI" panose="020B0604030504040204" pitchFamily="50" charset="-128"/>
              <a:cs typeface="+mn-cs"/>
            </a:rPr>
            <a:t>　・マンホールトイレ整備・運用のためのガイドライン（令和３年３月（国土交通省　水管理・国土保全局　下水道部））</a:t>
          </a:r>
          <a:endParaRPr kumimoji="1" lang="en-US" altLang="ja-JP" sz="1000" b="0">
            <a:solidFill>
              <a:srgbClr val="FF0000"/>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12</xdr:col>
      <xdr:colOff>1196235</xdr:colOff>
      <xdr:row>1</xdr:row>
      <xdr:rowOff>272143</xdr:rowOff>
    </xdr:from>
    <xdr:to>
      <xdr:col>14</xdr:col>
      <xdr:colOff>512123</xdr:colOff>
      <xdr:row>2</xdr:row>
      <xdr:rowOff>433202</xdr:rowOff>
    </xdr:to>
    <xdr:sp macro="" textlink="">
      <xdr:nvSpPr>
        <xdr:cNvPr id="12" name="正方形/長方形 11">
          <a:extLst>
            <a:ext uri="{FF2B5EF4-FFF2-40B4-BE49-F238E27FC236}">
              <a16:creationId xmlns:a16="http://schemas.microsoft.com/office/drawing/2014/main" id="{81EB4E02-52C3-441E-B757-431F14E15B53}"/>
            </a:ext>
          </a:extLst>
        </xdr:cNvPr>
        <xdr:cNvSpPr/>
      </xdr:nvSpPr>
      <xdr:spPr>
        <a:xfrm>
          <a:off x="19116842" y="748393"/>
          <a:ext cx="1547460" cy="637309"/>
        </a:xfrm>
        <a:prstGeom prst="rect">
          <a:avLst/>
        </a:prstGeom>
        <a:solidFill>
          <a:schemeClr val="accent4">
            <a:lumMod val="20000"/>
            <a:lumOff val="80000"/>
          </a:schemeClr>
        </a:solidFill>
        <a:ln w="38100">
          <a:solidFill>
            <a:schemeClr val="tx1"/>
          </a:solidFill>
        </a:ln>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ctr"/>
          <a:r>
            <a:rPr kumimoji="1" lang="ja-JP" altLang="en-US" sz="2400" b="1">
              <a:solidFill>
                <a:sysClr val="windowText" lastClr="000000"/>
              </a:solidFill>
            </a:rPr>
            <a:t>記入例</a:t>
          </a:r>
          <a:endParaRPr kumimoji="1" lang="ja-JP" altLang="en-US" sz="1400" b="1">
            <a:solidFill>
              <a:sysClr val="windowText" lastClr="000000"/>
            </a:solidFill>
          </a:endParaRPr>
        </a:p>
      </xdr:txBody>
    </xdr:sp>
    <xdr:clientData/>
  </xdr:twoCellAnchor>
  <xdr:twoCellAnchor>
    <xdr:from>
      <xdr:col>2</xdr:col>
      <xdr:colOff>794760</xdr:colOff>
      <xdr:row>61</xdr:row>
      <xdr:rowOff>69133</xdr:rowOff>
    </xdr:from>
    <xdr:to>
      <xdr:col>4</xdr:col>
      <xdr:colOff>588366</xdr:colOff>
      <xdr:row>63</xdr:row>
      <xdr:rowOff>71437</xdr:rowOff>
    </xdr:to>
    <xdr:sp macro="" textlink="">
      <xdr:nvSpPr>
        <xdr:cNvPr id="13" name="吹き出し: 四角形 12">
          <a:extLst>
            <a:ext uri="{FF2B5EF4-FFF2-40B4-BE49-F238E27FC236}">
              <a16:creationId xmlns:a16="http://schemas.microsoft.com/office/drawing/2014/main" id="{43C460D3-E733-45CA-AEE7-8D8019638245}"/>
            </a:ext>
          </a:extLst>
        </xdr:cNvPr>
        <xdr:cNvSpPr/>
      </xdr:nvSpPr>
      <xdr:spPr>
        <a:xfrm>
          <a:off x="3199823" y="28263133"/>
          <a:ext cx="2889231" cy="907179"/>
        </a:xfrm>
        <a:prstGeom prst="wedgeRectCallout">
          <a:avLst>
            <a:gd name="adj1" fmla="val -40867"/>
            <a:gd name="adj2" fmla="val -72726"/>
          </a:avLst>
        </a:prstGeom>
        <a:solidFill>
          <a:schemeClr val="bg1"/>
        </a:solidFill>
        <a:ln>
          <a:solidFill>
            <a:schemeClr val="tx1"/>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en-US" altLang="ja-JP" sz="1000" b="0">
              <a:solidFill>
                <a:srgbClr val="FF0000"/>
              </a:solidFill>
              <a:latin typeface="Meiryo UI" panose="020B0604030504040204" pitchFamily="50" charset="-128"/>
              <a:ea typeface="Meiryo UI" panose="020B0604030504040204" pitchFamily="50" charset="-128"/>
            </a:rPr>
            <a:t>【</a:t>
          </a:r>
          <a:r>
            <a:rPr kumimoji="1" lang="ja-JP" altLang="en-US" sz="1000" b="0">
              <a:solidFill>
                <a:srgbClr val="FF0000"/>
              </a:solidFill>
              <a:latin typeface="Meiryo UI" panose="020B0604030504040204" pitchFamily="50" charset="-128"/>
              <a:ea typeface="Meiryo UI" panose="020B0604030504040204" pitchFamily="50" charset="-128"/>
            </a:rPr>
            <a:t>確保方法（種類）</a:t>
          </a:r>
          <a:r>
            <a:rPr kumimoji="1" lang="en-US" altLang="ja-JP" sz="1000" b="0">
              <a:solidFill>
                <a:srgbClr val="FF0000"/>
              </a:solidFill>
              <a:latin typeface="Meiryo UI" panose="020B0604030504040204" pitchFamily="50" charset="-128"/>
              <a:ea typeface="Meiryo UI" panose="020B0604030504040204" pitchFamily="50" charset="-128"/>
            </a:rPr>
            <a:t>】</a:t>
          </a:r>
          <a:r>
            <a:rPr kumimoji="1" lang="ja-JP" altLang="en-US" sz="1000" b="0">
              <a:solidFill>
                <a:srgbClr val="FF0000"/>
              </a:solidFill>
              <a:latin typeface="Meiryo UI" panose="020B0604030504040204" pitchFamily="50" charset="-128"/>
              <a:ea typeface="Meiryo UI" panose="020B0604030504040204" pitchFamily="50" charset="-128"/>
            </a:rPr>
            <a:t>にて確保した（予定）のトイレについて、</a:t>
          </a:r>
          <a:r>
            <a:rPr kumimoji="1" lang="en-US" altLang="ja-JP" sz="1000" b="0">
              <a:solidFill>
                <a:srgbClr val="FF0000"/>
              </a:solidFill>
              <a:latin typeface="Meiryo UI" panose="020B0604030504040204" pitchFamily="50" charset="-128"/>
              <a:ea typeface="Meiryo UI" panose="020B0604030504040204" pitchFamily="50" charset="-128"/>
            </a:rPr>
            <a:t>【</a:t>
          </a:r>
          <a:r>
            <a:rPr kumimoji="1" lang="ja-JP" altLang="en-US" sz="1000" b="0">
              <a:solidFill>
                <a:srgbClr val="FF0000"/>
              </a:solidFill>
              <a:latin typeface="Meiryo UI" panose="020B0604030504040204" pitchFamily="50" charset="-128"/>
              <a:ea typeface="Meiryo UI" panose="020B0604030504040204" pitchFamily="50" charset="-128"/>
            </a:rPr>
            <a:t>種類</a:t>
          </a:r>
          <a:r>
            <a:rPr kumimoji="1" lang="en-US" altLang="ja-JP" sz="1000" b="0">
              <a:solidFill>
                <a:srgbClr val="FF0000"/>
              </a:solidFill>
              <a:latin typeface="Meiryo UI" panose="020B0604030504040204" pitchFamily="50" charset="-128"/>
              <a:ea typeface="Meiryo UI" panose="020B0604030504040204" pitchFamily="50" charset="-128"/>
            </a:rPr>
            <a:t>】【</a:t>
          </a:r>
          <a:r>
            <a:rPr kumimoji="1" lang="ja-JP" altLang="en-US" sz="1000" b="0">
              <a:solidFill>
                <a:srgbClr val="FF0000"/>
              </a:solidFill>
              <a:latin typeface="Meiryo UI" panose="020B0604030504040204" pitchFamily="50" charset="-128"/>
              <a:ea typeface="Meiryo UI" panose="020B0604030504040204" pitchFamily="50" charset="-128"/>
            </a:rPr>
            <a:t>確保方法</a:t>
          </a:r>
          <a:r>
            <a:rPr kumimoji="1" lang="en-US" altLang="ja-JP" sz="1000" b="0">
              <a:solidFill>
                <a:srgbClr val="FF0000"/>
              </a:solidFill>
              <a:latin typeface="Meiryo UI" panose="020B0604030504040204" pitchFamily="50" charset="-128"/>
              <a:ea typeface="Meiryo UI" panose="020B0604030504040204" pitchFamily="50" charset="-128"/>
            </a:rPr>
            <a:t>】</a:t>
          </a:r>
          <a:r>
            <a:rPr kumimoji="1" lang="ja-JP" altLang="en-US" sz="1000" b="0">
              <a:solidFill>
                <a:srgbClr val="FF0000"/>
              </a:solidFill>
              <a:latin typeface="Meiryo UI" panose="020B0604030504040204" pitchFamily="50" charset="-128"/>
              <a:ea typeface="Meiryo UI" panose="020B0604030504040204" pitchFamily="50" charset="-128"/>
            </a:rPr>
            <a:t>をリストから選択し、具体的な相手方等を記入する。</a:t>
          </a:r>
          <a:endParaRPr kumimoji="1" lang="en-US" altLang="ja-JP" sz="1000" b="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11</xdr:col>
      <xdr:colOff>69273</xdr:colOff>
      <xdr:row>29</xdr:row>
      <xdr:rowOff>310739</xdr:rowOff>
    </xdr:from>
    <xdr:to>
      <xdr:col>13</xdr:col>
      <xdr:colOff>637309</xdr:colOff>
      <xdr:row>33</xdr:row>
      <xdr:rowOff>311727</xdr:rowOff>
    </xdr:to>
    <xdr:sp macro="" textlink="">
      <xdr:nvSpPr>
        <xdr:cNvPr id="14" name="正方形/長方形 13">
          <a:extLst>
            <a:ext uri="{FF2B5EF4-FFF2-40B4-BE49-F238E27FC236}">
              <a16:creationId xmlns:a16="http://schemas.microsoft.com/office/drawing/2014/main" id="{1FA0F773-E556-41EF-8FB1-41A30930FDC3}"/>
            </a:ext>
          </a:extLst>
        </xdr:cNvPr>
        <xdr:cNvSpPr/>
      </xdr:nvSpPr>
      <xdr:spPr>
        <a:xfrm>
          <a:off x="16348364" y="14875330"/>
          <a:ext cx="3685309" cy="1351806"/>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a:solidFill>
                <a:srgbClr val="FF0000"/>
              </a:solidFill>
              <a:effectLst/>
              <a:latin typeface="Meiryo UI" panose="020B0604030504040204" pitchFamily="50" charset="-128"/>
              <a:ea typeface="Meiryo UI" panose="020B0604030504040204" pitchFamily="50" charset="-128"/>
              <a:cs typeface="+mn-cs"/>
            </a:rPr>
            <a:t>○本算定式を用いて、確保予定の数量について</a:t>
          </a:r>
          <a:r>
            <a:rPr kumimoji="1" lang="ja-JP" altLang="en-US" sz="1000" b="1">
              <a:solidFill>
                <a:srgbClr val="FF0000"/>
              </a:solidFill>
              <a:effectLst/>
              <a:latin typeface="Meiryo UI" panose="020B0604030504040204" pitchFamily="50" charset="-128"/>
              <a:ea typeface="Meiryo UI" panose="020B0604030504040204" pitchFamily="50" charset="-128"/>
              <a:cs typeface="+mn-cs"/>
            </a:rPr>
            <a:t>基数ベース</a:t>
          </a:r>
          <a:r>
            <a:rPr kumimoji="1" lang="ja-JP" altLang="en-US" sz="1000" b="0">
              <a:solidFill>
                <a:srgbClr val="FF0000"/>
              </a:solidFill>
              <a:effectLst/>
              <a:latin typeface="Meiryo UI" panose="020B0604030504040204" pitchFamily="50" charset="-128"/>
              <a:ea typeface="Meiryo UI" panose="020B0604030504040204" pitchFamily="50" charset="-128"/>
              <a:cs typeface="+mn-cs"/>
            </a:rPr>
            <a:t>から</a:t>
          </a:r>
          <a:r>
            <a:rPr kumimoji="1" lang="ja-JP" altLang="en-US" sz="1000" b="1">
              <a:solidFill>
                <a:srgbClr val="FF0000"/>
              </a:solidFill>
              <a:effectLst/>
              <a:latin typeface="Meiryo UI" panose="020B0604030504040204" pitchFamily="50" charset="-128"/>
              <a:ea typeface="Meiryo UI" panose="020B0604030504040204" pitchFamily="50" charset="-128"/>
              <a:cs typeface="+mn-cs"/>
            </a:rPr>
            <a:t>回数ベース</a:t>
          </a:r>
          <a:r>
            <a:rPr kumimoji="1" lang="ja-JP" altLang="en-US" sz="1000" b="0">
              <a:solidFill>
                <a:srgbClr val="FF0000"/>
              </a:solidFill>
              <a:effectLst/>
              <a:latin typeface="Meiryo UI" panose="020B0604030504040204" pitchFamily="50" charset="-128"/>
              <a:ea typeface="Meiryo UI" panose="020B0604030504040204" pitchFamily="50" charset="-128"/>
              <a:cs typeface="+mn-cs"/>
            </a:rPr>
            <a:t>に変換すること。</a:t>
          </a:r>
          <a:endParaRPr kumimoji="1" lang="en-US" altLang="ja-JP" sz="1000" b="0">
            <a:solidFill>
              <a:srgbClr val="FF0000"/>
            </a:solidFill>
            <a:effectLst/>
            <a:latin typeface="Meiryo UI" panose="020B0604030504040204" pitchFamily="50" charset="-128"/>
            <a:ea typeface="Meiryo UI" panose="020B0604030504040204" pitchFamily="50" charset="-128"/>
            <a:cs typeface="+mn-cs"/>
          </a:endParaRPr>
        </a:p>
        <a:p>
          <a:pPr algn="l"/>
          <a:r>
            <a:rPr kumimoji="1" lang="ja-JP" altLang="en-US" sz="1000" b="0">
              <a:solidFill>
                <a:srgbClr val="FF0000"/>
              </a:solidFill>
              <a:effectLst/>
              <a:latin typeface="Meiryo UI" panose="020B0604030504040204" pitchFamily="50" charset="-128"/>
              <a:ea typeface="Meiryo UI" panose="020B0604030504040204" pitchFamily="50" charset="-128"/>
              <a:cs typeface="+mn-cs"/>
            </a:rPr>
            <a:t>○回数ベースの確保数については、下の</a:t>
          </a:r>
          <a:r>
            <a:rPr kumimoji="1" lang="en-US" altLang="ja-JP" sz="1000" b="0">
              <a:solidFill>
                <a:srgbClr val="FF0000"/>
              </a:solidFill>
              <a:effectLst/>
              <a:latin typeface="Meiryo UI" panose="020B0604030504040204" pitchFamily="50" charset="-128"/>
              <a:ea typeface="Meiryo UI" panose="020B0604030504040204" pitchFamily="50" charset="-128"/>
              <a:cs typeface="+mn-cs"/>
            </a:rPr>
            <a:t>【</a:t>
          </a:r>
          <a:r>
            <a:rPr kumimoji="1" lang="ja-JP" altLang="en-US" sz="1000" b="0">
              <a:solidFill>
                <a:srgbClr val="FF0000"/>
              </a:solidFill>
              <a:effectLst/>
              <a:latin typeface="Meiryo UI" panose="020B0604030504040204" pitchFamily="50" charset="-128"/>
              <a:ea typeface="Meiryo UI" panose="020B0604030504040204" pitchFamily="50" charset="-128"/>
              <a:cs typeface="+mn-cs"/>
            </a:rPr>
            <a:t>確保方法（種類）</a:t>
          </a:r>
          <a:r>
            <a:rPr kumimoji="1" lang="en-US" altLang="ja-JP" sz="1000" b="0">
              <a:solidFill>
                <a:srgbClr val="FF0000"/>
              </a:solidFill>
              <a:effectLst/>
              <a:latin typeface="Meiryo UI" panose="020B0604030504040204" pitchFamily="50" charset="-128"/>
              <a:ea typeface="Meiryo UI" panose="020B0604030504040204" pitchFamily="50" charset="-128"/>
              <a:cs typeface="+mn-cs"/>
            </a:rPr>
            <a:t>】</a:t>
          </a:r>
          <a:r>
            <a:rPr kumimoji="1" lang="ja-JP" altLang="en-US" sz="1000" b="0">
              <a:solidFill>
                <a:srgbClr val="FF0000"/>
              </a:solidFill>
              <a:effectLst/>
              <a:latin typeface="Meiryo UI" panose="020B0604030504040204" pitchFamily="50" charset="-128"/>
              <a:ea typeface="Meiryo UI" panose="020B0604030504040204" pitchFamily="50" charset="-128"/>
              <a:cs typeface="+mn-cs"/>
            </a:rPr>
            <a:t>に入力すること。</a:t>
          </a:r>
          <a:endParaRPr kumimoji="1" lang="en-US" altLang="ja-JP" sz="1000" b="0">
            <a:solidFill>
              <a:srgbClr val="FF0000"/>
            </a:solidFill>
            <a:effectLst/>
            <a:latin typeface="Meiryo UI" panose="020B0604030504040204" pitchFamily="50" charset="-128"/>
            <a:ea typeface="Meiryo UI" panose="020B0604030504040204" pitchFamily="50" charset="-128"/>
            <a:cs typeface="+mn-cs"/>
          </a:endParaRPr>
        </a:p>
        <a:p>
          <a:pPr algn="l"/>
          <a:r>
            <a:rPr kumimoji="1" lang="en-US" altLang="ja-JP" sz="1000" b="0">
              <a:solidFill>
                <a:srgbClr val="FF0000"/>
              </a:solidFill>
              <a:effectLst/>
              <a:latin typeface="Meiryo UI" panose="020B0604030504040204" pitchFamily="50" charset="-128"/>
              <a:ea typeface="Meiryo UI" panose="020B0604030504040204" pitchFamily="50" charset="-128"/>
              <a:cs typeface="+mn-cs"/>
            </a:rPr>
            <a:t>※</a:t>
          </a:r>
          <a:r>
            <a:rPr kumimoji="1" lang="ja-JP" altLang="en-US" sz="1000" b="0">
              <a:solidFill>
                <a:srgbClr val="FF0000"/>
              </a:solidFill>
              <a:effectLst/>
              <a:latin typeface="Meiryo UI" panose="020B0604030504040204" pitchFamily="50" charset="-128"/>
              <a:ea typeface="Meiryo UI" panose="020B0604030504040204" pitchFamily="50" charset="-128"/>
              <a:cs typeface="+mn-cs"/>
            </a:rPr>
            <a:t>携帯トイレ、簡易トイレについては廃棄物の回収方法と頻度を事前に検討すること</a:t>
          </a:r>
          <a:endParaRPr kumimoji="1" lang="en-US" altLang="ja-JP" sz="1000" b="0">
            <a:solidFill>
              <a:srgbClr val="FF0000"/>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7</xdr:col>
      <xdr:colOff>1437408</xdr:colOff>
      <xdr:row>47</xdr:row>
      <xdr:rowOff>244928</xdr:rowOff>
    </xdr:from>
    <xdr:to>
      <xdr:col>11</xdr:col>
      <xdr:colOff>108857</xdr:colOff>
      <xdr:row>49</xdr:row>
      <xdr:rowOff>190500</xdr:rowOff>
    </xdr:to>
    <xdr:cxnSp macro="">
      <xdr:nvCxnSpPr>
        <xdr:cNvPr id="16" name="直線矢印コネクタ 15">
          <a:extLst>
            <a:ext uri="{FF2B5EF4-FFF2-40B4-BE49-F238E27FC236}">
              <a16:creationId xmlns:a16="http://schemas.microsoft.com/office/drawing/2014/main" id="{4FC8386F-7187-4813-B55F-47135E73CB07}"/>
            </a:ext>
          </a:extLst>
        </xdr:cNvPr>
        <xdr:cNvCxnSpPr/>
      </xdr:nvCxnSpPr>
      <xdr:spPr>
        <a:xfrm flipV="1">
          <a:off x="11601944" y="22778357"/>
          <a:ext cx="4876306" cy="843643"/>
        </a:xfrm>
        <a:prstGeom prst="straightConnector1">
          <a:avLst/>
        </a:prstGeom>
        <a:ln w="57150">
          <a:solidFill>
            <a:srgbClr val="0070C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686541</xdr:colOff>
      <xdr:row>47</xdr:row>
      <xdr:rowOff>376052</xdr:rowOff>
    </xdr:from>
    <xdr:to>
      <xdr:col>10</xdr:col>
      <xdr:colOff>288221</xdr:colOff>
      <xdr:row>48</xdr:row>
      <xdr:rowOff>272142</xdr:rowOff>
    </xdr:to>
    <xdr:sp macro="" textlink="">
      <xdr:nvSpPr>
        <xdr:cNvPr id="17" name="正方形/長方形 16">
          <a:extLst>
            <a:ext uri="{FF2B5EF4-FFF2-40B4-BE49-F238E27FC236}">
              <a16:creationId xmlns:a16="http://schemas.microsoft.com/office/drawing/2014/main" id="{D7867D69-77E6-4A7E-B3CD-D6E2475869A2}"/>
            </a:ext>
          </a:extLst>
        </xdr:cNvPr>
        <xdr:cNvSpPr/>
      </xdr:nvSpPr>
      <xdr:spPr>
        <a:xfrm>
          <a:off x="13953505" y="22909481"/>
          <a:ext cx="1152895" cy="345125"/>
        </a:xfrm>
        <a:prstGeom prst="rect">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solidFill>
                <a:sysClr val="windowText" lastClr="000000"/>
              </a:solidFill>
              <a:effectLst/>
              <a:latin typeface="Meiryo UI" panose="020B0604030504040204" pitchFamily="50" charset="-128"/>
              <a:ea typeface="Meiryo UI" panose="020B0604030504040204" pitchFamily="50" charset="-128"/>
              <a:cs typeface="+mn-cs"/>
            </a:rPr>
            <a:t>自動引込</a:t>
          </a:r>
          <a:endParaRPr kumimoji="1" lang="en-US" altLang="ja-JP" sz="800" b="1">
            <a:solidFill>
              <a:sysClr val="windowText" lastClr="000000"/>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11</xdr:col>
      <xdr:colOff>265043</xdr:colOff>
      <xdr:row>14</xdr:row>
      <xdr:rowOff>74543</xdr:rowOff>
    </xdr:from>
    <xdr:to>
      <xdr:col>11</xdr:col>
      <xdr:colOff>265043</xdr:colOff>
      <xdr:row>15</xdr:row>
      <xdr:rowOff>422414</xdr:rowOff>
    </xdr:to>
    <xdr:cxnSp macro="">
      <xdr:nvCxnSpPr>
        <xdr:cNvPr id="18" name="直線矢印コネクタ 17">
          <a:extLst>
            <a:ext uri="{FF2B5EF4-FFF2-40B4-BE49-F238E27FC236}">
              <a16:creationId xmlns:a16="http://schemas.microsoft.com/office/drawing/2014/main" id="{23A02636-1BCB-408F-9C0C-4812C2CD7B85}"/>
            </a:ext>
          </a:extLst>
        </xdr:cNvPr>
        <xdr:cNvCxnSpPr/>
      </xdr:nvCxnSpPr>
      <xdr:spPr>
        <a:xfrm>
          <a:off x="16476593" y="7637393"/>
          <a:ext cx="0" cy="805071"/>
        </a:xfrm>
        <a:prstGeom prst="straightConnector1">
          <a:avLst/>
        </a:prstGeom>
        <a:ln w="57150">
          <a:solidFill>
            <a:srgbClr val="0070C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571498</xdr:colOff>
      <xdr:row>36</xdr:row>
      <xdr:rowOff>95248</xdr:rowOff>
    </xdr:from>
    <xdr:to>
      <xdr:col>10</xdr:col>
      <xdr:colOff>595312</xdr:colOff>
      <xdr:row>39</xdr:row>
      <xdr:rowOff>119061</xdr:rowOff>
    </xdr:to>
    <xdr:sp macro="" textlink="">
      <xdr:nvSpPr>
        <xdr:cNvPr id="19" name="矢印: 下 18">
          <a:extLst>
            <a:ext uri="{FF2B5EF4-FFF2-40B4-BE49-F238E27FC236}">
              <a16:creationId xmlns:a16="http://schemas.microsoft.com/office/drawing/2014/main" id="{0FA27195-5E16-4038-B849-5A8013A01ADC}"/>
            </a:ext>
          </a:extLst>
        </xdr:cNvPr>
        <xdr:cNvSpPr/>
      </xdr:nvSpPr>
      <xdr:spPr>
        <a:xfrm>
          <a:off x="1254123" y="17970498"/>
          <a:ext cx="14025564" cy="1357313"/>
        </a:xfrm>
        <a:prstGeom prst="downArrow">
          <a:avLst>
            <a:gd name="adj1" fmla="val 66382"/>
            <a:gd name="adj2" fmla="val 27586"/>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kumimoji="1" lang="ja-JP" altLang="en-US" sz="2300" b="1">
              <a:solidFill>
                <a:srgbClr val="FF0000"/>
              </a:solidFill>
              <a:latin typeface="Meiryo UI" panose="020B0604030504040204" pitchFamily="50" charset="-128"/>
              <a:ea typeface="Meiryo UI" panose="020B0604030504040204" pitchFamily="50" charset="-128"/>
            </a:rPr>
            <a:t>上の式で算定した</a:t>
          </a:r>
          <a:r>
            <a:rPr kumimoji="1" lang="en-US" altLang="ja-JP" sz="2300" b="1">
              <a:solidFill>
                <a:srgbClr val="FF0000"/>
              </a:solidFill>
              <a:latin typeface="Meiryo UI" panose="020B0604030504040204" pitchFamily="50" charset="-128"/>
              <a:ea typeface="Meiryo UI" panose="020B0604030504040204" pitchFamily="50" charset="-128"/>
            </a:rPr>
            <a:t>【</a:t>
          </a:r>
          <a:r>
            <a:rPr kumimoji="1" lang="ja-JP" altLang="en-US" sz="2300" b="1">
              <a:solidFill>
                <a:srgbClr val="FF0000"/>
              </a:solidFill>
              <a:latin typeface="Meiryo UI" panose="020B0604030504040204" pitchFamily="50" charset="-128"/>
              <a:ea typeface="Meiryo UI" panose="020B0604030504040204" pitchFamily="50" charset="-128"/>
            </a:rPr>
            <a:t>回数換算</a:t>
          </a:r>
          <a:r>
            <a:rPr kumimoji="1" lang="en-US" altLang="ja-JP" sz="2300" b="1">
              <a:solidFill>
                <a:srgbClr val="FF0000"/>
              </a:solidFill>
              <a:latin typeface="Meiryo UI" panose="020B0604030504040204" pitchFamily="50" charset="-128"/>
              <a:ea typeface="Meiryo UI" panose="020B0604030504040204" pitchFamily="50" charset="-128"/>
            </a:rPr>
            <a:t>】</a:t>
          </a:r>
          <a:r>
            <a:rPr kumimoji="1" lang="ja-JP" altLang="en-US" sz="2300" b="1">
              <a:solidFill>
                <a:srgbClr val="FF0000"/>
              </a:solidFill>
              <a:latin typeface="Meiryo UI" panose="020B0604030504040204" pitchFamily="50" charset="-128"/>
              <a:ea typeface="Meiryo UI" panose="020B0604030504040204" pitchFamily="50" charset="-128"/>
            </a:rPr>
            <a:t>を、下の</a:t>
          </a:r>
          <a:r>
            <a:rPr kumimoji="1" lang="en-US" altLang="ja-JP" sz="2300" b="1">
              <a:solidFill>
                <a:srgbClr val="FF0000"/>
              </a:solidFill>
              <a:latin typeface="Meiryo UI" panose="020B0604030504040204" pitchFamily="50" charset="-128"/>
              <a:ea typeface="Meiryo UI" panose="020B0604030504040204" pitchFamily="50" charset="-128"/>
            </a:rPr>
            <a:t>【</a:t>
          </a:r>
          <a:r>
            <a:rPr kumimoji="1" lang="ja-JP" altLang="en-US" sz="2300" b="1">
              <a:solidFill>
                <a:srgbClr val="FF0000"/>
              </a:solidFill>
              <a:latin typeface="Meiryo UI" panose="020B0604030504040204" pitchFamily="50" charset="-128"/>
              <a:ea typeface="Meiryo UI" panose="020B0604030504040204" pitchFamily="50" charset="-128"/>
            </a:rPr>
            <a:t>確保方法（種類）</a:t>
          </a:r>
          <a:r>
            <a:rPr kumimoji="1" lang="en-US" altLang="ja-JP" sz="2300" b="1">
              <a:solidFill>
                <a:srgbClr val="FF0000"/>
              </a:solidFill>
              <a:latin typeface="Meiryo UI" panose="020B0604030504040204" pitchFamily="50" charset="-128"/>
              <a:ea typeface="Meiryo UI" panose="020B0604030504040204" pitchFamily="50" charset="-128"/>
            </a:rPr>
            <a:t>】</a:t>
          </a:r>
          <a:r>
            <a:rPr kumimoji="1" lang="ja-JP" altLang="en-US" sz="2300" b="1">
              <a:solidFill>
                <a:srgbClr val="FF0000"/>
              </a:solidFill>
              <a:latin typeface="Meiryo UI" panose="020B0604030504040204" pitchFamily="50" charset="-128"/>
              <a:ea typeface="Meiryo UI" panose="020B0604030504040204" pitchFamily="50" charset="-128"/>
            </a:rPr>
            <a:t>に</a:t>
          </a:r>
          <a:endParaRPr kumimoji="1" lang="en-US" altLang="ja-JP" sz="2300" b="1">
            <a:solidFill>
              <a:srgbClr val="FF0000"/>
            </a:solidFill>
            <a:latin typeface="Meiryo UI" panose="020B0604030504040204" pitchFamily="50" charset="-128"/>
            <a:ea typeface="Meiryo UI" panose="020B0604030504040204" pitchFamily="50" charset="-128"/>
          </a:endParaRPr>
        </a:p>
        <a:p>
          <a:pPr algn="ctr"/>
          <a:r>
            <a:rPr kumimoji="1" lang="ja-JP" altLang="en-US" sz="2300" b="1">
              <a:solidFill>
                <a:srgbClr val="FF0000"/>
              </a:solidFill>
              <a:latin typeface="Meiryo UI" panose="020B0604030504040204" pitchFamily="50" charset="-128"/>
              <a:ea typeface="Meiryo UI" panose="020B0604030504040204" pitchFamily="50" charset="-128"/>
            </a:rPr>
            <a:t>トイレの種類ごとに確保方法（購入、レンタル等）の欄に転記する！</a:t>
          </a:r>
        </a:p>
      </xdr:txBody>
    </xdr:sp>
    <xdr:clientData/>
  </xdr:twoCellAnchor>
  <xdr:twoCellAnchor>
    <xdr:from>
      <xdr:col>1</xdr:col>
      <xdr:colOff>1699764</xdr:colOff>
      <xdr:row>35</xdr:row>
      <xdr:rowOff>94035</xdr:rowOff>
    </xdr:from>
    <xdr:to>
      <xdr:col>10</xdr:col>
      <xdr:colOff>950702</xdr:colOff>
      <xdr:row>37</xdr:row>
      <xdr:rowOff>5129</xdr:rowOff>
    </xdr:to>
    <xdr:sp macro="" textlink="">
      <xdr:nvSpPr>
        <xdr:cNvPr id="9" name="矢印: 右カーブ 8">
          <a:extLst>
            <a:ext uri="{FF2B5EF4-FFF2-40B4-BE49-F238E27FC236}">
              <a16:creationId xmlns:a16="http://schemas.microsoft.com/office/drawing/2014/main" id="{AFBD67B1-391D-F32E-EF27-A6DE7A8185DA}"/>
            </a:ext>
          </a:extLst>
        </xdr:cNvPr>
        <xdr:cNvSpPr/>
      </xdr:nvSpPr>
      <xdr:spPr>
        <a:xfrm rot="4002843">
          <a:off x="8712595" y="10884295"/>
          <a:ext cx="811639" cy="13451847"/>
        </a:xfrm>
        <a:prstGeom prst="curvedRightArrow">
          <a:avLst>
            <a:gd name="adj1" fmla="val 20861"/>
            <a:gd name="adj2" fmla="val 50000"/>
            <a:gd name="adj3" fmla="val 21242"/>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xdr:col>
      <xdr:colOff>479896</xdr:colOff>
      <xdr:row>25</xdr:row>
      <xdr:rowOff>461150</xdr:rowOff>
    </xdr:from>
    <xdr:to>
      <xdr:col>3</xdr:col>
      <xdr:colOff>96611</xdr:colOff>
      <xdr:row>27</xdr:row>
      <xdr:rowOff>272143</xdr:rowOff>
    </xdr:to>
    <xdr:sp macro="" textlink="">
      <xdr:nvSpPr>
        <xdr:cNvPr id="15" name="吹き出し: 四角形 14">
          <a:extLst>
            <a:ext uri="{FF2B5EF4-FFF2-40B4-BE49-F238E27FC236}">
              <a16:creationId xmlns:a16="http://schemas.microsoft.com/office/drawing/2014/main" id="{4BE3132E-AE48-4451-8FD4-479A5F328A31}"/>
            </a:ext>
          </a:extLst>
        </xdr:cNvPr>
        <xdr:cNvSpPr/>
      </xdr:nvSpPr>
      <xdr:spPr>
        <a:xfrm>
          <a:off x="1160253" y="13061364"/>
          <a:ext cx="2896037" cy="736279"/>
        </a:xfrm>
        <a:prstGeom prst="wedgeRectCallout">
          <a:avLst>
            <a:gd name="adj1" fmla="val -17071"/>
            <a:gd name="adj2" fmla="val -245415"/>
          </a:avLst>
        </a:prstGeom>
        <a:solidFill>
          <a:schemeClr val="bg1"/>
        </a:solidFill>
        <a:ln>
          <a:solidFill>
            <a:schemeClr val="tx1"/>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000" b="0">
              <a:solidFill>
                <a:srgbClr val="FF0000"/>
              </a:solidFill>
              <a:latin typeface="Meiryo UI" panose="020B0604030504040204" pitchFamily="50" charset="-128"/>
              <a:ea typeface="Meiryo UI" panose="020B0604030504040204" pitchFamily="50" charset="-128"/>
            </a:rPr>
            <a:t>排水機能が確保されている前提のマンホールトイレ（本管直結型等）は対象外</a:t>
          </a:r>
          <a:endParaRPr kumimoji="1" lang="en-US" altLang="ja-JP" sz="1000" b="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10</xdr:col>
      <xdr:colOff>319331</xdr:colOff>
      <xdr:row>49</xdr:row>
      <xdr:rowOff>123692</xdr:rowOff>
    </xdr:from>
    <xdr:to>
      <xdr:col>12</xdr:col>
      <xdr:colOff>112940</xdr:colOff>
      <xdr:row>50</xdr:row>
      <xdr:rowOff>68035</xdr:rowOff>
    </xdr:to>
    <xdr:sp macro="" textlink="">
      <xdr:nvSpPr>
        <xdr:cNvPr id="20" name="吹き出し: 四角形 19">
          <a:extLst>
            <a:ext uri="{FF2B5EF4-FFF2-40B4-BE49-F238E27FC236}">
              <a16:creationId xmlns:a16="http://schemas.microsoft.com/office/drawing/2014/main" id="{873E1853-20CD-4FB1-988B-FDDB17BF7975}"/>
            </a:ext>
          </a:extLst>
        </xdr:cNvPr>
        <xdr:cNvSpPr/>
      </xdr:nvSpPr>
      <xdr:spPr>
        <a:xfrm>
          <a:off x="15137510" y="23555192"/>
          <a:ext cx="2896037" cy="393379"/>
        </a:xfrm>
        <a:prstGeom prst="wedgeRectCallout">
          <a:avLst>
            <a:gd name="adj1" fmla="val -2506"/>
            <a:gd name="adj2" fmla="val -125289"/>
          </a:avLst>
        </a:prstGeom>
        <a:solidFill>
          <a:schemeClr val="bg1"/>
        </a:solidFill>
        <a:ln>
          <a:solidFill>
            <a:schemeClr val="tx1"/>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en-US" altLang="ja-JP" sz="1000" b="0">
              <a:solidFill>
                <a:srgbClr val="FF0000"/>
              </a:solidFill>
              <a:latin typeface="Meiryo UI" panose="020B0604030504040204" pitchFamily="50" charset="-128"/>
              <a:ea typeface="Meiryo UI" panose="020B0604030504040204" pitchFamily="50" charset="-128"/>
            </a:rPr>
            <a:t>【</a:t>
          </a:r>
          <a:r>
            <a:rPr kumimoji="1" lang="ja-JP" altLang="en-US" sz="1000" b="0">
              <a:solidFill>
                <a:srgbClr val="FF0000"/>
              </a:solidFill>
              <a:latin typeface="Meiryo UI" panose="020B0604030504040204" pitchFamily="50" charset="-128"/>
              <a:ea typeface="Meiryo UI" panose="020B0604030504040204" pitchFamily="50" charset="-128"/>
            </a:rPr>
            <a:t>確保予定数</a:t>
          </a:r>
          <a:r>
            <a:rPr kumimoji="1" lang="en-US" altLang="ja-JP" sz="1000" b="0">
              <a:solidFill>
                <a:srgbClr val="FF0000"/>
              </a:solidFill>
              <a:latin typeface="Meiryo UI" panose="020B0604030504040204" pitchFamily="50" charset="-128"/>
              <a:ea typeface="Meiryo UI" panose="020B0604030504040204" pitchFamily="50" charset="-128"/>
            </a:rPr>
            <a:t>】</a:t>
          </a:r>
          <a:r>
            <a:rPr kumimoji="1" lang="ja-JP" altLang="en-US" sz="1000" b="0">
              <a:solidFill>
                <a:srgbClr val="FF0000"/>
              </a:solidFill>
              <a:latin typeface="Meiryo UI" panose="020B0604030504040204" pitchFamily="50" charset="-128"/>
              <a:ea typeface="Meiryo UI" panose="020B0604030504040204" pitchFamily="50" charset="-128"/>
            </a:rPr>
            <a:t>が</a:t>
          </a:r>
          <a:r>
            <a:rPr kumimoji="1" lang="en-US" altLang="ja-JP" sz="1000" b="0">
              <a:solidFill>
                <a:srgbClr val="FF0000"/>
              </a:solidFill>
              <a:latin typeface="Meiryo UI" panose="020B0604030504040204" pitchFamily="50" charset="-128"/>
              <a:ea typeface="Meiryo UI" panose="020B0604030504040204" pitchFamily="50" charset="-128"/>
            </a:rPr>
            <a:t>【</a:t>
          </a:r>
          <a:r>
            <a:rPr kumimoji="1" lang="ja-JP" altLang="en-US" sz="1000" b="0">
              <a:solidFill>
                <a:srgbClr val="FF0000"/>
              </a:solidFill>
              <a:latin typeface="Meiryo UI" panose="020B0604030504040204" pitchFamily="50" charset="-128"/>
              <a:ea typeface="Meiryo UI" panose="020B0604030504040204" pitchFamily="50" charset="-128"/>
            </a:rPr>
            <a:t>導入必要数</a:t>
          </a:r>
          <a:r>
            <a:rPr kumimoji="1" lang="en-US" altLang="ja-JP" sz="1000" b="0">
              <a:solidFill>
                <a:srgbClr val="FF0000"/>
              </a:solidFill>
              <a:latin typeface="Meiryo UI" panose="020B0604030504040204" pitchFamily="50" charset="-128"/>
              <a:ea typeface="Meiryo UI" panose="020B0604030504040204" pitchFamily="50" charset="-128"/>
            </a:rPr>
            <a:t>】</a:t>
          </a:r>
          <a:r>
            <a:rPr kumimoji="1" lang="ja-JP" altLang="en-US" sz="1000" b="0">
              <a:solidFill>
                <a:srgbClr val="FF0000"/>
              </a:solidFill>
              <a:latin typeface="Meiryo UI" panose="020B0604030504040204" pitchFamily="50" charset="-128"/>
              <a:ea typeface="Meiryo UI" panose="020B0604030504040204" pitchFamily="50" charset="-128"/>
            </a:rPr>
            <a:t>を超えているか確認</a:t>
          </a:r>
          <a:endParaRPr kumimoji="1" lang="en-US" altLang="ja-JP" sz="1000" b="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15</xdr:col>
      <xdr:colOff>571500</xdr:colOff>
      <xdr:row>8</xdr:row>
      <xdr:rowOff>1028700</xdr:rowOff>
    </xdr:from>
    <xdr:to>
      <xdr:col>24</xdr:col>
      <xdr:colOff>128587</xdr:colOff>
      <xdr:row>16</xdr:row>
      <xdr:rowOff>14287</xdr:rowOff>
    </xdr:to>
    <xdr:sp macro="" textlink="">
      <xdr:nvSpPr>
        <xdr:cNvPr id="21" name="正方形/長方形 20">
          <a:extLst>
            <a:ext uri="{FF2B5EF4-FFF2-40B4-BE49-F238E27FC236}">
              <a16:creationId xmlns:a16="http://schemas.microsoft.com/office/drawing/2014/main" id="{5054B645-8B70-4108-87F1-97B6AC959673}"/>
            </a:ext>
          </a:extLst>
        </xdr:cNvPr>
        <xdr:cNvSpPr/>
      </xdr:nvSpPr>
      <xdr:spPr>
        <a:xfrm>
          <a:off x="21526500" y="4724400"/>
          <a:ext cx="7977187" cy="3595687"/>
        </a:xfrm>
        <a:prstGeom prst="rect">
          <a:avLst/>
        </a:prstGeom>
        <a:noFill/>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226957</xdr:colOff>
      <xdr:row>0</xdr:row>
      <xdr:rowOff>150426</xdr:rowOff>
    </xdr:from>
    <xdr:to>
      <xdr:col>14</xdr:col>
      <xdr:colOff>443405</xdr:colOff>
      <xdr:row>65</xdr:row>
      <xdr:rowOff>73269</xdr:rowOff>
    </xdr:to>
    <xdr:sp macro="" textlink="">
      <xdr:nvSpPr>
        <xdr:cNvPr id="2" name="正方形/長方形 1">
          <a:extLst>
            <a:ext uri="{FF2B5EF4-FFF2-40B4-BE49-F238E27FC236}">
              <a16:creationId xmlns:a16="http://schemas.microsoft.com/office/drawing/2014/main" id="{EEAAF151-F92B-F080-67F8-787E1C59F0CF}"/>
            </a:ext>
          </a:extLst>
        </xdr:cNvPr>
        <xdr:cNvSpPr/>
      </xdr:nvSpPr>
      <xdr:spPr>
        <a:xfrm>
          <a:off x="226957" y="150426"/>
          <a:ext cx="9858679" cy="15639093"/>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400">
              <a:latin typeface="ＭＳ ゴシック" panose="020B0609070205080204" pitchFamily="49" charset="-128"/>
              <a:ea typeface="ＭＳ ゴシック" panose="020B0609070205080204" pitchFamily="49" charset="-128"/>
            </a:rPr>
            <a:t>各種事項の補足説明</a:t>
          </a:r>
          <a:endParaRPr kumimoji="1" lang="en-US" altLang="ja-JP" sz="1400">
            <a:latin typeface="ＭＳ ゴシック" panose="020B0609070205080204" pitchFamily="49" charset="-128"/>
            <a:ea typeface="ＭＳ ゴシック" panose="020B0609070205080204" pitchFamily="49" charset="-128"/>
          </a:endParaRPr>
        </a:p>
        <a:p>
          <a:pPr algn="ctr"/>
          <a:endParaRPr kumimoji="1" lang="en-US" altLang="ja-JP" sz="1400">
            <a:latin typeface="ＭＳ ゴシック" panose="020B0609070205080204" pitchFamily="49" charset="-128"/>
            <a:ea typeface="ＭＳ ゴシック" panose="020B0609070205080204" pitchFamily="49" charset="-128"/>
          </a:endParaRPr>
        </a:p>
        <a:p>
          <a:r>
            <a:rPr lang="ja-JP" altLang="en-US" sz="1600" b="1" u="sng">
              <a:effectLst/>
              <a:latin typeface="ＭＳ ゴシック" panose="020B0609070205080204" pitchFamily="49" charset="-128"/>
              <a:ea typeface="ＭＳ ゴシック" panose="020B0609070205080204" pitchFamily="49" charset="-128"/>
            </a:rPr>
            <a:t>全体</a:t>
          </a:r>
          <a:endParaRPr lang="ja-JP" altLang="ja-JP" sz="1600" b="1" u="sng">
            <a:effectLst/>
            <a:latin typeface="ＭＳ ゴシック" panose="020B0609070205080204" pitchFamily="49" charset="-128"/>
            <a:ea typeface="ＭＳ ゴシック" panose="020B0609070205080204" pitchFamily="49" charset="-128"/>
          </a:endParaRPr>
        </a:p>
        <a:p>
          <a:pPr algn="l"/>
          <a:r>
            <a:rPr kumimoji="1" lang="ja-JP" altLang="en-US" sz="1100"/>
            <a:t>　　・本シートでは、避難所における災害用トイレについて、</a:t>
          </a:r>
          <a:r>
            <a:rPr kumimoji="1" lang="ja-JP" altLang="en-US" sz="1100" b="1" u="sng"/>
            <a:t>回数をベース</a:t>
          </a:r>
          <a:r>
            <a:rPr kumimoji="1" lang="ja-JP" altLang="en-US" sz="1100"/>
            <a:t>に十分な数を確保できているかについて算定するものである。</a:t>
          </a:r>
          <a:endParaRPr kumimoji="1" lang="en-US" altLang="ja-JP" sz="1100"/>
        </a:p>
        <a:p>
          <a:pPr algn="l"/>
          <a:endParaRPr kumimoji="1" lang="en-US" altLang="ja-JP" sz="1600" b="1" u="sng"/>
        </a:p>
        <a:p>
          <a:pPr algn="l"/>
          <a:r>
            <a:rPr kumimoji="1" lang="ja-JP" altLang="en-US" sz="1600" b="1" u="sng">
              <a:latin typeface="ＭＳ ゴシック" panose="020B0609070205080204" pitchFamily="49" charset="-128"/>
              <a:ea typeface="ＭＳ ゴシック" panose="020B0609070205080204" pitchFamily="49" charset="-128"/>
            </a:rPr>
            <a:t>基礎情報</a:t>
          </a:r>
          <a:endParaRPr kumimoji="1" lang="en-US" altLang="ja-JP" sz="1100" b="1" u="sng">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算出条件</a:t>
          </a:r>
          <a:r>
            <a:rPr kumimoji="1" lang="en-US" altLang="ja-JP" sz="1100">
              <a:latin typeface="ＭＳ ゴシック" panose="020B0609070205080204" pitchFamily="49" charset="-128"/>
              <a:ea typeface="ＭＳ ゴシック" panose="020B0609070205080204" pitchFamily="49" charset="-128"/>
            </a:rPr>
            <a:t>】</a:t>
          </a:r>
        </a:p>
        <a:p>
          <a:pPr algn="l"/>
          <a:r>
            <a:rPr kumimoji="1" lang="ja-JP" altLang="en-US" sz="1100">
              <a:latin typeface="ＭＳ ゴシック" panose="020B0609070205080204" pitchFamily="49" charset="-128"/>
              <a:ea typeface="ＭＳ ゴシック" panose="020B0609070205080204" pitchFamily="49" charset="-128"/>
            </a:rPr>
            <a:t>　○発災後</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t>　　・必要なトイレ数を算定するにあたり想定する、</a:t>
          </a:r>
          <a:r>
            <a:rPr kumimoji="1" lang="ja-JP" altLang="en-US" sz="1100" b="1" u="sng"/>
            <a:t>期間を記入</a:t>
          </a:r>
          <a:r>
            <a:rPr kumimoji="1" lang="ja-JP" altLang="en-US" sz="1100"/>
            <a:t>すること。</a:t>
          </a:r>
          <a:endParaRPr kumimoji="1" lang="en-US" altLang="ja-JP" sz="1100"/>
        </a:p>
        <a:p>
          <a:pPr algn="l"/>
          <a:r>
            <a:rPr kumimoji="1" lang="ja-JP" altLang="en-US" sz="1100"/>
            <a:t>　　　なお、仮設トイレやマンホールトイレが整備されるまでは携帯トイレや簡易トイレにより対処することになる。</a:t>
          </a:r>
          <a:endParaRPr kumimoji="1" lang="en-US" altLang="ja-JP" sz="1100"/>
        </a:p>
        <a:p>
          <a:pPr algn="l"/>
          <a:r>
            <a:rPr kumimoji="1" lang="ja-JP" altLang="en-US" sz="1100"/>
            <a:t>　　　</a:t>
          </a:r>
          <a:r>
            <a:rPr kumimoji="1" lang="ja-JP" altLang="en-US" sz="1100" b="1" u="sng"/>
            <a:t>下水道が整備されるまでは、仮設トイレや携帯トイレ、マンホールトイレ（貯留型）等により対処することになる</a:t>
          </a:r>
          <a:r>
            <a:rPr kumimoji="1" lang="ja-JP" altLang="en-US" sz="1100"/>
            <a:t>。</a:t>
          </a:r>
          <a:endParaRPr kumimoji="1" lang="en-US" altLang="ja-JP" sz="1100"/>
        </a:p>
        <a:p>
          <a:pPr algn="l"/>
          <a:r>
            <a:rPr kumimoji="1" lang="ja-JP" altLang="en-US" sz="1100"/>
            <a:t>　　　これを踏まえ適切に記入すること。</a:t>
          </a:r>
          <a:endParaRPr kumimoji="1" lang="en-US" altLang="ja-JP" sz="1100"/>
        </a:p>
        <a:p>
          <a:pPr algn="l"/>
          <a:r>
            <a:rPr kumimoji="1" lang="ja-JP" altLang="en-US" sz="1100"/>
            <a:t>　　・過去地震では仮設トイレが使用可能になるまでに</a:t>
          </a:r>
          <a:r>
            <a:rPr kumimoji="1" lang="en-US" altLang="ja-JP" sz="1100"/>
            <a:t>14</a:t>
          </a:r>
          <a:r>
            <a:rPr kumimoji="1" lang="ja-JP" altLang="en-US" sz="1100"/>
            <a:t>日程度要することもあった。</a:t>
          </a:r>
          <a:endParaRPr kumimoji="1" lang="en-US" altLang="ja-JP" sz="1100"/>
        </a:p>
        <a:p>
          <a:pPr algn="l"/>
          <a:r>
            <a:rPr kumimoji="1" lang="ja-JP" altLang="en-US" sz="1100">
              <a:latin typeface="ＭＳ ゴシック" panose="020B0609070205080204" pitchFamily="49" charset="-128"/>
              <a:ea typeface="ＭＳ ゴシック" panose="020B0609070205080204" pitchFamily="49" charset="-128"/>
            </a:rPr>
            <a:t>　○想定避難者数</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t>　　・</a:t>
          </a:r>
          <a:r>
            <a:rPr kumimoji="1" lang="ja-JP" altLang="en-US" sz="1100" b="1" u="sng"/>
            <a:t>想定される避難者数（車中泊避難者など避難所外の人数も考慮すること）を記入する</a:t>
          </a:r>
          <a:r>
            <a:rPr kumimoji="1" lang="ja-JP" altLang="en-US" sz="1100"/>
            <a:t>こと。</a:t>
          </a:r>
          <a:endParaRPr kumimoji="1" lang="en-US" altLang="ja-JP" sz="1100"/>
        </a:p>
        <a:p>
          <a:pPr algn="l"/>
          <a:endParaRPr kumimoji="1" lang="en-US" altLang="ja-JP" sz="1100"/>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合計必要数</a:t>
          </a:r>
          <a:r>
            <a:rPr kumimoji="1" lang="en-US" altLang="ja-JP" sz="1100">
              <a:latin typeface="ＭＳ ゴシック" panose="020B0609070205080204" pitchFamily="49" charset="-128"/>
              <a:ea typeface="ＭＳ ゴシック" panose="020B0609070205080204" pitchFamily="49" charset="-128"/>
            </a:rPr>
            <a:t>】</a:t>
          </a:r>
        </a:p>
        <a:p>
          <a:pPr algn="l"/>
          <a:r>
            <a:rPr kumimoji="1" lang="ja-JP" altLang="en-US" sz="1100"/>
            <a:t>　　・避難者一人当たり１日に５回排泄をすると想定されるため、</a:t>
          </a:r>
          <a:endParaRPr kumimoji="1" lang="en-US" altLang="ja-JP" sz="1100"/>
        </a:p>
        <a:p>
          <a:pPr algn="l"/>
          <a:r>
            <a:rPr kumimoji="1" lang="ja-JP" altLang="en-US" sz="1100"/>
            <a:t>　　　</a:t>
          </a:r>
          <a:r>
            <a:rPr kumimoji="1" lang="ja-JP" altLang="en-US" sz="1100" b="1" u="sng"/>
            <a:t>「避難者数</a:t>
          </a:r>
          <a:r>
            <a:rPr kumimoji="1" lang="en-US" altLang="ja-JP" sz="1100" b="1" u="sng"/>
            <a:t>×</a:t>
          </a:r>
          <a:r>
            <a:rPr kumimoji="1" lang="ja-JP" altLang="en-US" sz="1100" b="1" u="sng"/>
            <a:t>５回</a:t>
          </a:r>
          <a:r>
            <a:rPr kumimoji="1" lang="en-US" altLang="ja-JP" sz="1100" b="1" u="sng"/>
            <a:t>/</a:t>
          </a:r>
          <a:r>
            <a:rPr kumimoji="1" lang="ja-JP" altLang="en-US" sz="1100" b="1" u="sng"/>
            <a:t>日</a:t>
          </a:r>
          <a:r>
            <a:rPr kumimoji="1" lang="en-US" altLang="ja-JP" sz="1100" b="1" u="sng"/>
            <a:t>×</a:t>
          </a:r>
          <a:r>
            <a:rPr kumimoji="1" lang="ja-JP" altLang="en-US" sz="1100" b="1" u="sng"/>
            <a:t>日数」で</a:t>
          </a:r>
          <a:r>
            <a:rPr kumimoji="1" lang="ja-JP" altLang="en-US" sz="1100"/>
            <a:t>算出</a:t>
          </a:r>
          <a:endParaRPr kumimoji="1" lang="en-US" altLang="ja-JP" sz="1100"/>
        </a:p>
        <a:p>
          <a:pPr algn="l"/>
          <a:endParaRPr kumimoji="1" lang="en-US" altLang="ja-JP" sz="1100"/>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備蓄数・協定済数</a:t>
          </a:r>
          <a:r>
            <a:rPr kumimoji="1" lang="en-US" altLang="ja-JP" sz="1100">
              <a:latin typeface="ＭＳ ゴシック" panose="020B0609070205080204" pitchFamily="49" charset="-128"/>
              <a:ea typeface="ＭＳ ゴシック" panose="020B0609070205080204" pitchFamily="49" charset="-128"/>
            </a:rPr>
            <a:t>】</a:t>
          </a:r>
        </a:p>
        <a:p>
          <a:pPr algn="l"/>
          <a:r>
            <a:rPr kumimoji="1" lang="ja-JP" altLang="en-US" sz="1100">
              <a:latin typeface="ＭＳ ゴシック" panose="020B0609070205080204" pitchFamily="49" charset="-128"/>
              <a:ea typeface="ＭＳ ゴシック" panose="020B0609070205080204" pitchFamily="49" charset="-128"/>
            </a:rPr>
            <a:t>　○全体</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t>　　</a:t>
          </a:r>
          <a:r>
            <a:rPr kumimoji="1" lang="ja-JP" altLang="en-US" sz="1100">
              <a:solidFill>
                <a:schemeClr val="dk1"/>
              </a:solidFill>
              <a:effectLst/>
              <a:latin typeface="+mn-lt"/>
              <a:ea typeface="+mn-ea"/>
              <a:cs typeface="+mn-cs"/>
            </a:rPr>
            <a:t>・①</a:t>
          </a:r>
          <a:r>
            <a:rPr kumimoji="1" lang="ja-JP" altLang="ja-JP" sz="1100">
              <a:solidFill>
                <a:schemeClr val="dk1"/>
              </a:solidFill>
              <a:effectLst/>
              <a:latin typeface="+mn-lt"/>
              <a:ea typeface="+mn-ea"/>
              <a:cs typeface="+mn-cs"/>
            </a:rPr>
            <a:t>携帯トイレ</a:t>
          </a:r>
          <a:r>
            <a:rPr kumimoji="1" lang="ja-JP" altLang="en-US" sz="1100">
              <a:solidFill>
                <a:schemeClr val="dk1"/>
              </a:solidFill>
              <a:effectLst/>
              <a:latin typeface="+mn-lt"/>
              <a:ea typeface="+mn-ea"/>
              <a:cs typeface="+mn-cs"/>
            </a:rPr>
            <a:t>、②</a:t>
          </a:r>
          <a:r>
            <a:rPr kumimoji="1" lang="ja-JP" altLang="en-US" sz="1100"/>
            <a:t>簡易トイレ（本体）、③簡易トイレ（付属物）、④仮設トイレ（快適トイレ）、⑤マンホールトイレ（貯留）、⑥トイレカー等</a:t>
          </a:r>
          <a:endParaRPr kumimoji="1" lang="en-US" altLang="ja-JP" sz="1100"/>
        </a:p>
        <a:p>
          <a:pPr algn="l"/>
          <a:r>
            <a:rPr kumimoji="1" lang="ja-JP" altLang="en-US" sz="1100"/>
            <a:t>　　　において、それぞれ備蓄等基数、便槽のキャパシティ、想定使用開始日、汲み取り頻度を記入すること。</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・上記に入力いただいた情報をもとに</a:t>
          </a:r>
          <a:r>
            <a:rPr kumimoji="1" lang="ja-JP" altLang="ja-JP" sz="1100" b="1" u="sng">
              <a:solidFill>
                <a:schemeClr val="dk1"/>
              </a:solidFill>
              <a:effectLst/>
              <a:latin typeface="+mn-lt"/>
              <a:ea typeface="+mn-ea"/>
              <a:cs typeface="+mn-cs"/>
            </a:rPr>
            <a:t>既に確保している数量を回数ベースで算出</a:t>
          </a:r>
          <a:r>
            <a:rPr kumimoji="1" lang="ja-JP" altLang="ja-JP" sz="1100">
              <a:solidFill>
                <a:schemeClr val="dk1"/>
              </a:solidFill>
              <a:effectLst/>
              <a:latin typeface="+mn-lt"/>
              <a:ea typeface="+mn-ea"/>
              <a:cs typeface="+mn-cs"/>
            </a:rPr>
            <a:t>する。</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（仮設トイレ、マンホールトイレにおいては１回の排泄あたり</a:t>
          </a:r>
          <a:r>
            <a:rPr kumimoji="1" lang="en-US" altLang="ja-JP" sz="1100">
              <a:solidFill>
                <a:schemeClr val="dk1"/>
              </a:solidFill>
              <a:effectLst/>
              <a:latin typeface="+mn-lt"/>
              <a:ea typeface="+mn-ea"/>
              <a:cs typeface="+mn-cs"/>
            </a:rPr>
            <a:t>0.5ml(※1)</a:t>
          </a:r>
          <a:r>
            <a:rPr kumimoji="1" lang="ja-JP" altLang="en-US" sz="1100">
              <a:solidFill>
                <a:schemeClr val="dk1"/>
              </a:solidFill>
              <a:effectLst/>
              <a:latin typeface="+mn-lt"/>
              <a:ea typeface="+mn-ea"/>
              <a:cs typeface="+mn-cs"/>
            </a:rPr>
            <a:t>が流されることになる。</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トイレカーの場合は１回あたり５</a:t>
          </a:r>
          <a:r>
            <a:rPr kumimoji="1" lang="en-US" altLang="ja-JP" sz="1100">
              <a:solidFill>
                <a:schemeClr val="dk1"/>
              </a:solidFill>
              <a:effectLst/>
              <a:latin typeface="+mn-lt"/>
              <a:ea typeface="+mn-ea"/>
              <a:cs typeface="+mn-cs"/>
            </a:rPr>
            <a:t>L(※2)</a:t>
          </a:r>
          <a:r>
            <a:rPr kumimoji="1" lang="ja-JP" altLang="en-US" sz="1100">
              <a:solidFill>
                <a:schemeClr val="dk1"/>
              </a:solidFill>
              <a:effectLst/>
              <a:latin typeface="+mn-lt"/>
              <a:ea typeface="+mn-ea"/>
              <a:cs typeface="+mn-cs"/>
            </a:rPr>
            <a:t>である。</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便槽のキャパシティを１回あたりの排泄量で除することで、排泄可能回数が算定される。</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これと汲み取り頻度を組み合わせることで、初めに設定した期間（算出条件）において何回分の排泄が確保されるのかを算定することができる。）</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１：避難所におけるトイレの確保・管理ガイドライン（令和６年</a:t>
          </a:r>
          <a:r>
            <a:rPr kumimoji="1" lang="en-US" altLang="ja-JP" sz="1100">
              <a:solidFill>
                <a:schemeClr val="dk1"/>
              </a:solidFill>
              <a:effectLst/>
              <a:latin typeface="+mn-lt"/>
              <a:ea typeface="+mn-ea"/>
              <a:cs typeface="+mn-cs"/>
            </a:rPr>
            <a:t>12</a:t>
          </a:r>
          <a:r>
            <a:rPr kumimoji="1" lang="ja-JP" altLang="en-US" sz="1100">
              <a:solidFill>
                <a:schemeClr val="dk1"/>
              </a:solidFill>
              <a:effectLst/>
              <a:latin typeface="+mn-lt"/>
              <a:ea typeface="+mn-ea"/>
              <a:cs typeface="+mn-cs"/>
            </a:rPr>
            <a:t>月改定　内閣府（防災担当））</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（排泄物</a:t>
          </a:r>
          <a:r>
            <a:rPr kumimoji="1" lang="en-US" altLang="ja-JP" sz="1100">
              <a:solidFill>
                <a:schemeClr val="dk1"/>
              </a:solidFill>
              <a:effectLst/>
              <a:latin typeface="+mn-lt"/>
              <a:ea typeface="+mn-ea"/>
              <a:cs typeface="+mn-cs"/>
            </a:rPr>
            <a:t>0.3ml+</a:t>
          </a:r>
          <a:r>
            <a:rPr kumimoji="1" lang="ja-JP" altLang="en-US" sz="1100">
              <a:solidFill>
                <a:schemeClr val="dk1"/>
              </a:solidFill>
              <a:effectLst/>
              <a:latin typeface="+mn-lt"/>
              <a:ea typeface="+mn-ea"/>
              <a:cs typeface="+mn-cs"/>
            </a:rPr>
            <a:t>洗浄水</a:t>
          </a:r>
          <a:r>
            <a:rPr kumimoji="1" lang="en-US" altLang="ja-JP" sz="1100">
              <a:solidFill>
                <a:schemeClr val="dk1"/>
              </a:solidFill>
              <a:effectLst/>
              <a:latin typeface="+mn-lt"/>
              <a:ea typeface="+mn-ea"/>
              <a:cs typeface="+mn-cs"/>
            </a:rPr>
            <a:t>0.2ml</a:t>
          </a:r>
          <a:r>
            <a:rPr kumimoji="1" lang="ja-JP" altLang="en-US" sz="1100">
              <a:solidFill>
                <a:schemeClr val="dk1"/>
              </a:solidFill>
              <a:effectLst/>
              <a:latin typeface="+mn-lt"/>
              <a:ea typeface="+mn-ea"/>
              <a:cs typeface="+mn-cs"/>
            </a:rPr>
            <a:t>程度）</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２：一般的な水洗便所の排泄物＋洗浄水で約５</a:t>
          </a:r>
          <a:r>
            <a:rPr kumimoji="1" lang="en-US" altLang="ja-JP" sz="1100">
              <a:solidFill>
                <a:schemeClr val="dk1"/>
              </a:solidFill>
              <a:effectLst/>
              <a:latin typeface="+mn-lt"/>
              <a:ea typeface="+mn-ea"/>
              <a:cs typeface="+mn-cs"/>
            </a:rPr>
            <a:t>L</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p>
        <a:p>
          <a:pPr algn="l"/>
          <a:r>
            <a:rPr kumimoji="1" lang="ja-JP" altLang="en-US" sz="1100">
              <a:latin typeface="ＭＳ ゴシック" panose="020B0609070205080204" pitchFamily="49" charset="-128"/>
              <a:ea typeface="ＭＳ ゴシック" panose="020B0609070205080204" pitchFamily="49" charset="-128"/>
            </a:rPr>
            <a:t>　○簡易トイレ</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t>　　・</a:t>
          </a:r>
          <a:r>
            <a:rPr kumimoji="1" lang="ja-JP" altLang="en-US" sz="1100" b="1" u="sng"/>
            <a:t>簡易トイレについては、トイレ本体とラップ・凝固剤等の付属物を分けて管理する</a:t>
          </a:r>
          <a:r>
            <a:rPr kumimoji="1" lang="ja-JP" altLang="en-US" sz="1100"/>
            <a:t>こと。</a:t>
          </a:r>
          <a:endParaRPr kumimoji="1" lang="en-US" altLang="ja-JP" sz="1100"/>
        </a:p>
        <a:p>
          <a:pPr algn="l"/>
          <a:r>
            <a:rPr kumimoji="1" lang="ja-JP" altLang="en-US" sz="1100" baseline="0"/>
            <a:t> </a:t>
          </a:r>
          <a:r>
            <a:rPr kumimoji="1" lang="ja-JP" altLang="en-US" sz="1100"/>
            <a:t>　　 （本体は基数ベース、付属物は回数ベースとなる）</a:t>
          </a:r>
          <a:endParaRPr kumimoji="1" lang="en-US" altLang="ja-JP" sz="1100"/>
        </a:p>
        <a:p>
          <a:pPr algn="l"/>
          <a:r>
            <a:rPr kumimoji="1" lang="ja-JP" altLang="en-US" sz="1100"/>
            <a:t>　</a:t>
          </a:r>
          <a:r>
            <a:rPr kumimoji="1" lang="ja-JP" altLang="en-US" sz="1100">
              <a:latin typeface="ＭＳ ゴシック" panose="020B0609070205080204" pitchFamily="49" charset="-128"/>
              <a:ea typeface="ＭＳ ゴシック" panose="020B0609070205080204" pitchFamily="49" charset="-128"/>
            </a:rPr>
            <a:t>○マンホールトイレ</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t>　　・本シートは</a:t>
          </a:r>
          <a:r>
            <a:rPr kumimoji="1" lang="ja-JP" altLang="en-US" sz="1100" b="0" u="none"/>
            <a:t>回数ベースで算定するもの</a:t>
          </a:r>
          <a:r>
            <a:rPr kumimoji="1" lang="ja-JP" altLang="en-US" sz="1100"/>
            <a:t>である。そのため、</a:t>
          </a:r>
          <a:r>
            <a:rPr kumimoji="1" lang="ja-JP" altLang="en-US" sz="1100" b="1" u="sng"/>
            <a:t>既に排水機能が確保されている場合は回数を算定する必要がない</a:t>
          </a:r>
          <a:r>
            <a:rPr kumimoji="1" lang="ja-JP" altLang="en-US" sz="1100"/>
            <a:t>。</a:t>
          </a:r>
          <a:endParaRPr kumimoji="1" lang="en-US" altLang="ja-JP" sz="1100"/>
        </a:p>
        <a:p>
          <a:pPr algn="l"/>
          <a:r>
            <a:rPr kumimoji="1" lang="ja-JP" altLang="en-US" sz="1100"/>
            <a:t>　　　（水洗トイレ、マンホールトイレ（本管直結型、貯留型のうち下水道への放流が可能な状態のもの）等）</a:t>
          </a:r>
          <a:endParaRPr kumimoji="1" lang="en-US" altLang="ja-JP" sz="1100"/>
        </a:p>
        <a:p>
          <a:pPr algn="l"/>
          <a:endParaRPr kumimoji="1" lang="en-US" altLang="ja-JP" sz="1100"/>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導入必要数</a:t>
          </a:r>
          <a:r>
            <a:rPr kumimoji="1" lang="en-US" altLang="ja-JP" sz="1100">
              <a:latin typeface="ＭＳ ゴシック" panose="020B0609070205080204" pitchFamily="49" charset="-128"/>
              <a:ea typeface="ＭＳ ゴシック" panose="020B0609070205080204" pitchFamily="49" charset="-128"/>
            </a:rPr>
            <a:t>】</a:t>
          </a:r>
        </a:p>
        <a:p>
          <a:pPr algn="l"/>
          <a:r>
            <a:rPr kumimoji="1" lang="ja-JP" altLang="en-US" sz="1100"/>
            <a:t>　　・上記「合計必要数から備蓄数・協定済数を引く」ことで、不足している数すなわち導入必要数を算出する。</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u="sng">
              <a:solidFill>
                <a:schemeClr val="dk1"/>
              </a:solidFill>
              <a:effectLst/>
              <a:latin typeface="ＭＳ ゴシック" panose="020B0609070205080204" pitchFamily="49" charset="-128"/>
              <a:ea typeface="ＭＳ ゴシック" panose="020B0609070205080204" pitchFamily="49" charset="-128"/>
              <a:cs typeface="+mn-cs"/>
            </a:rPr>
            <a:t>導入必要数に基づく確保方法</a:t>
          </a:r>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確保方法（種類）</a:t>
          </a:r>
          <a:r>
            <a:rPr kumimoji="1" lang="en-US" altLang="ja-JP" sz="1100">
              <a:latin typeface="ＭＳ ゴシック" panose="020B0609070205080204" pitchFamily="49" charset="-128"/>
              <a:ea typeface="ＭＳ ゴシック" panose="020B0609070205080204" pitchFamily="49" charset="-128"/>
            </a:rPr>
            <a:t>】</a:t>
          </a:r>
        </a:p>
        <a:p>
          <a:pPr algn="l"/>
          <a:r>
            <a:rPr kumimoji="1" lang="ja-JP" altLang="en-US" sz="1100"/>
            <a:t>　　・導入必要数を確保するために、</a:t>
          </a:r>
          <a:r>
            <a:rPr kumimoji="1" lang="ja-JP" altLang="en-US" sz="1100" b="1" i="0" u="sng"/>
            <a:t>各種トイレの確保方法を記入</a:t>
          </a:r>
          <a:r>
            <a:rPr kumimoji="1" lang="ja-JP" altLang="en-US" sz="1100"/>
            <a:t>する。</a:t>
          </a:r>
          <a:endParaRPr kumimoji="1" lang="en-US" altLang="ja-JP" sz="1100"/>
        </a:p>
        <a:p>
          <a:pPr algn="l"/>
          <a:r>
            <a:rPr kumimoji="1" lang="ja-JP" altLang="en-US" sz="1100"/>
            <a:t>　　・確保の方法としては①購入、②協定・レンタル（所在地都道府県、他自治体、民間）、③その他が考えられるため、</a:t>
          </a:r>
          <a:endParaRPr kumimoji="1" lang="en-US" altLang="ja-JP" sz="1100"/>
        </a:p>
        <a:p>
          <a:pPr algn="l"/>
          <a:r>
            <a:rPr kumimoji="1" lang="ja-JP" altLang="en-US" sz="1100"/>
            <a:t>　　　それぞれにおいて</a:t>
          </a:r>
          <a:r>
            <a:rPr kumimoji="1" lang="ja-JP" altLang="en-US" sz="1100" b="1" u="sng"/>
            <a:t>確保する予定の数量を回数ベースで記入</a:t>
          </a:r>
          <a:r>
            <a:rPr kumimoji="1" lang="ja-JP" altLang="en-US" sz="1100"/>
            <a:t>する。</a:t>
          </a:r>
          <a:endParaRPr kumimoji="1" lang="en-US" altLang="ja-JP" sz="1100"/>
        </a:p>
        <a:p>
          <a:pPr algn="l"/>
          <a:r>
            <a:rPr kumimoji="1" lang="ja-JP" altLang="en-US" sz="1100"/>
            <a:t>　　（回数ベースの記入にあたっては、</a:t>
          </a:r>
          <a:r>
            <a:rPr kumimoji="1" lang="ja-JP" altLang="en-US" sz="1100" u="sng"/>
            <a:t>表の上部にある「</a:t>
          </a:r>
          <a:r>
            <a:rPr kumimoji="1" lang="en-US" altLang="ja-JP" sz="1100" u="sng"/>
            <a:t>【</a:t>
          </a:r>
          <a:r>
            <a:rPr kumimoji="1" lang="ja-JP" altLang="en-US" sz="1100" u="sng"/>
            <a:t>参考１</a:t>
          </a:r>
          <a:r>
            <a:rPr kumimoji="1" lang="en-US" altLang="ja-JP" sz="1100" u="sng"/>
            <a:t>】</a:t>
          </a:r>
          <a:r>
            <a:rPr kumimoji="1" lang="ja-JP" altLang="en-US" sz="1100" u="sng"/>
            <a:t>確保回数の算定式」を活用し</a:t>
          </a:r>
          <a:r>
            <a:rPr kumimoji="1" lang="ja-JP" altLang="en-US" sz="1100"/>
            <a:t>、</a:t>
          </a:r>
          <a:endParaRPr kumimoji="1" lang="en-US" altLang="ja-JP" sz="1100"/>
        </a:p>
        <a:p>
          <a:pPr algn="l"/>
          <a:r>
            <a:rPr kumimoji="1" lang="ja-JP" altLang="en-US" sz="1100"/>
            <a:t>　　　確保基数、便槽のキャパシティ、使用開始日想定、汲み取り頻度を記入することで算出される「回数換算」を参考にすること）</a:t>
          </a:r>
          <a:endParaRPr kumimoji="1" lang="en-US" altLang="ja-JP" sz="1100"/>
        </a:p>
        <a:p>
          <a:pPr algn="l"/>
          <a:endParaRPr kumimoji="1" lang="en-US" altLang="ja-JP" sz="1100"/>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確保方法（詳細）</a:t>
          </a:r>
          <a:r>
            <a:rPr kumimoji="1" lang="en-US" altLang="ja-JP" sz="1100">
              <a:latin typeface="ＭＳ ゴシック" panose="020B0609070205080204" pitchFamily="49" charset="-128"/>
              <a:ea typeface="ＭＳ ゴシック" panose="020B0609070205080204" pitchFamily="49" charset="-128"/>
            </a:rPr>
            <a:t>】</a:t>
          </a:r>
        </a:p>
        <a:p>
          <a:pPr algn="l"/>
          <a:r>
            <a:rPr kumimoji="1" lang="ja-JP" altLang="en-US" sz="1100"/>
            <a:t>　　・確保方法（種類）で記入した確保方法について、</a:t>
          </a:r>
          <a:endParaRPr kumimoji="1" lang="en-US" altLang="ja-JP" sz="1100"/>
        </a:p>
        <a:p>
          <a:pPr algn="l"/>
          <a:r>
            <a:rPr kumimoji="1" lang="ja-JP" altLang="en-US" sz="1100"/>
            <a:t>　　　</a:t>
          </a:r>
          <a:r>
            <a:rPr kumimoji="1" lang="ja-JP" altLang="en-US" sz="1100" b="1" u="sng"/>
            <a:t>それぞれの確保回数（基数）、自市町村担当者、相手方（名、連絡先、所在地）、確保時期、保管場所、避難所への輸送方法を記入する</a:t>
          </a:r>
          <a:r>
            <a:rPr kumimoji="1" lang="ja-JP" altLang="en-US" sz="1100"/>
            <a:t>こと。</a:t>
          </a:r>
          <a:endParaRPr kumimoji="1" lang="en-US" altLang="ja-JP" sz="1100"/>
        </a:p>
        <a:p>
          <a:pPr algn="l"/>
          <a:r>
            <a:rPr kumimoji="1" lang="ja-JP" altLang="en-US" sz="1100"/>
            <a:t>　　・簡易トイレ（本体）の場合は基数欄に、それ以外は回数欄を記入すること。</a:t>
          </a:r>
          <a:endParaRPr kumimoji="1" lang="en-US" altLang="ja-JP" sz="1100"/>
        </a:p>
        <a:p>
          <a:pPr algn="l"/>
          <a:r>
            <a:rPr kumimoji="1" lang="ja-JP" altLang="en-US" sz="1100"/>
            <a:t>　　・</a:t>
          </a:r>
          <a:r>
            <a:rPr kumimoji="1" lang="ja-JP" altLang="en-US" sz="1100" u="sng"/>
            <a:t>回数もしくは基数を入力することで、基数が概算で算定される</a:t>
          </a:r>
          <a:r>
            <a:rPr kumimoji="1" lang="ja-JP" altLang="en-US" sz="1100"/>
            <a:t>。</a:t>
          </a:r>
          <a:endParaRPr kumimoji="1" lang="en-US" altLang="ja-JP" sz="1100"/>
        </a:p>
        <a:p>
          <a:pPr algn="l"/>
          <a:r>
            <a:rPr kumimoji="1" lang="ja-JP" altLang="en-US" sz="1100" baseline="0"/>
            <a:t>　　・表下部判定欄で、確保数が導入必要数を上回っているかが判定される。</a:t>
          </a:r>
          <a:endParaRPr kumimoji="1" lang="en-US" altLang="ja-JP" sz="1100" baseline="0"/>
        </a:p>
        <a:p>
          <a:pPr algn="l"/>
          <a:r>
            <a:rPr kumimoji="1" lang="ja-JP" altLang="en-US" sz="1100" baseline="0"/>
            <a:t>　　・欄外に各日ごと（７日目まで）の確保数判定が表示される。本判定は</a:t>
          </a:r>
          <a:r>
            <a:rPr kumimoji="1" lang="en-US" altLang="ja-JP" sz="1100" baseline="0"/>
            <a:t>【</a:t>
          </a:r>
          <a:r>
            <a:rPr kumimoji="1" lang="ja-JP" altLang="en-US" sz="1100" baseline="0"/>
            <a:t>参考１</a:t>
          </a:r>
          <a:r>
            <a:rPr kumimoji="1" lang="en-US" altLang="ja-JP" sz="1100" baseline="0"/>
            <a:t>】</a:t>
          </a:r>
          <a:r>
            <a:rPr kumimoji="1" lang="ja-JP" altLang="en-US" sz="1100" baseline="0"/>
            <a:t>を使用して算出しておりあくまで参考であるため、正確な値は各　　</a:t>
          </a:r>
          <a:endParaRPr kumimoji="1" lang="en-US" altLang="ja-JP" sz="1100" baseline="0"/>
        </a:p>
        <a:p>
          <a:pPr algn="l"/>
          <a:r>
            <a:rPr kumimoji="1" lang="ja-JP" altLang="en-US" sz="1100" baseline="0"/>
            <a:t>　　　自治体において計算すること。特に</a:t>
          </a:r>
          <a:r>
            <a:rPr kumimoji="1" lang="en-US" altLang="ja-JP" sz="1100" baseline="0"/>
            <a:t>【</a:t>
          </a:r>
          <a:r>
            <a:rPr kumimoji="1" lang="ja-JP" altLang="en-US" sz="1100" baseline="0"/>
            <a:t>参考１</a:t>
          </a:r>
          <a:r>
            <a:rPr kumimoji="1" lang="en-US" altLang="ja-JP" sz="1100" baseline="0"/>
            <a:t>】</a:t>
          </a:r>
          <a:r>
            <a:rPr kumimoji="1" lang="ja-JP" altLang="en-US" sz="1100" baseline="0"/>
            <a:t>の判定式を複数回利用して</a:t>
          </a:r>
          <a:r>
            <a:rPr kumimoji="1" lang="en-US" altLang="ja-JP" sz="1100" baseline="0"/>
            <a:t>【</a:t>
          </a:r>
          <a:r>
            <a:rPr kumimoji="1" lang="ja-JP" altLang="en-US" sz="1100" baseline="0"/>
            <a:t>確保方法（種類）</a:t>
          </a:r>
          <a:r>
            <a:rPr kumimoji="1" lang="en-US" altLang="ja-JP" sz="1100" baseline="0"/>
            <a:t>】</a:t>
          </a:r>
          <a:r>
            <a:rPr kumimoji="1" lang="ja-JP" altLang="en-US" sz="1100" baseline="0"/>
            <a:t>を記入した場合、消された</a:t>
          </a:r>
          <a:r>
            <a:rPr kumimoji="1" lang="en-US" altLang="ja-JP" sz="1100" baseline="0"/>
            <a:t>【</a:t>
          </a:r>
          <a:r>
            <a:rPr kumimoji="1" lang="ja-JP" altLang="en-US" sz="1100" baseline="0"/>
            <a:t>参考１</a:t>
          </a:r>
          <a:r>
            <a:rPr kumimoji="1" lang="en-US" altLang="ja-JP" sz="1100" baseline="0"/>
            <a:t>】</a:t>
          </a:r>
          <a:r>
            <a:rPr kumimoji="1" lang="ja-JP" altLang="en-US" sz="1100" baseline="0"/>
            <a:t>は本判定に</a:t>
          </a:r>
          <a:endParaRPr kumimoji="1" lang="en-US" altLang="ja-JP" sz="1100" baseline="0"/>
        </a:p>
        <a:p>
          <a:pPr algn="l"/>
          <a:r>
            <a:rPr kumimoji="1" lang="ja-JP" altLang="en-US" sz="1100" baseline="0"/>
            <a:t>　　　反映されない。</a:t>
          </a:r>
          <a:endParaRPr kumimoji="1" lang="en-US" altLang="ja-JP" sz="1100" baseline="0"/>
        </a:p>
        <a:p>
          <a:pPr algn="l"/>
          <a:endParaRPr kumimoji="1" lang="en-US" altLang="ja-JP" sz="1100" baseline="0"/>
        </a:p>
        <a:p>
          <a:pPr algn="l"/>
          <a:r>
            <a:rPr kumimoji="1" lang="en-US" altLang="ja-JP" sz="1100" baseline="0">
              <a:latin typeface="ＭＳ ゴシック" panose="020B0609070205080204" pitchFamily="49" charset="-128"/>
              <a:ea typeface="ＭＳ ゴシック" panose="020B0609070205080204" pitchFamily="49" charset="-128"/>
            </a:rPr>
            <a:t>【</a:t>
          </a:r>
          <a:r>
            <a:rPr kumimoji="1" lang="ja-JP" altLang="en-US" sz="1100" baseline="0">
              <a:latin typeface="ＭＳ ゴシック" panose="020B0609070205080204" pitchFamily="49" charset="-128"/>
              <a:ea typeface="ＭＳ ゴシック" panose="020B0609070205080204" pitchFamily="49" charset="-128"/>
            </a:rPr>
            <a:t>スフィア基準</a:t>
          </a:r>
          <a:r>
            <a:rPr kumimoji="1" lang="en-US" altLang="ja-JP" sz="1100" baseline="0">
              <a:latin typeface="ＭＳ ゴシック" panose="020B0609070205080204" pitchFamily="49" charset="-128"/>
              <a:ea typeface="ＭＳ ゴシック" panose="020B0609070205080204" pitchFamily="49" charset="-128"/>
            </a:rPr>
            <a:t>】</a:t>
          </a:r>
        </a:p>
        <a:p>
          <a:pPr algn="l"/>
          <a:r>
            <a:rPr kumimoji="1" lang="ja-JP" altLang="en-US" sz="1100" baseline="0"/>
            <a:t>　　・本シートは回数ベースのものであるが、</a:t>
          </a:r>
          <a:r>
            <a:rPr kumimoji="1" lang="ja-JP" altLang="en-US" sz="1100" u="sng" baseline="0"/>
            <a:t>参考として基数ベースの考え方が「</a:t>
          </a:r>
          <a:r>
            <a:rPr kumimoji="1" lang="en-US" altLang="ja-JP" sz="1100" u="sng" baseline="0"/>
            <a:t>【</a:t>
          </a:r>
          <a:r>
            <a:rPr kumimoji="1" lang="ja-JP" altLang="en-US" sz="1100" u="sng" baseline="0"/>
            <a:t>参考２</a:t>
          </a:r>
          <a:r>
            <a:rPr kumimoji="1" lang="en-US" altLang="ja-JP" sz="1100" u="sng" baseline="0"/>
            <a:t>】</a:t>
          </a:r>
          <a:r>
            <a:rPr kumimoji="1" lang="ja-JP" altLang="en-US" sz="1100" u="sng" baseline="0"/>
            <a:t>スフィア基準に沿った基数確保状況」に表示される</a:t>
          </a:r>
          <a:r>
            <a:rPr kumimoji="1" lang="ja-JP" altLang="en-US" sz="1100" baseline="0"/>
            <a:t>。</a:t>
          </a:r>
          <a:endParaRPr kumimoji="1" lang="en-US" altLang="ja-JP" sz="1100" baseline="0"/>
        </a:p>
        <a:p>
          <a:pPr algn="l"/>
          <a:r>
            <a:rPr kumimoji="1" lang="ja-JP" altLang="en-US" sz="1100" baseline="0"/>
            <a:t>　　　発災初期、中期のそれぞれごとに合計必要数が算出される。</a:t>
          </a:r>
          <a:endParaRPr kumimoji="1" lang="en-US" altLang="ja-JP" sz="1100" baseline="0"/>
        </a:p>
        <a:p>
          <a:pPr algn="l"/>
          <a:r>
            <a:rPr kumimoji="1" lang="ja-JP" altLang="en-US" sz="1100" baseline="0"/>
            <a:t>　　・合計必要数と現在の備蓄等数を比較したものが「判定（現状）」である。</a:t>
          </a:r>
          <a:endParaRPr kumimoji="1" lang="en-US" altLang="ja-JP" sz="1100" baseline="0"/>
        </a:p>
        <a:p>
          <a:pPr algn="l"/>
          <a:r>
            <a:rPr kumimoji="1" lang="ja-JP" altLang="en-US" sz="1100" baseline="0"/>
            <a:t>　　　現在の備蓄等数に確保方法に記載された確保予定数が加わったものが合計予定数となり、</a:t>
          </a:r>
          <a:endParaRPr kumimoji="1" lang="en-US" altLang="ja-JP" sz="1100" baseline="0"/>
        </a:p>
        <a:p>
          <a:pPr algn="l"/>
          <a:r>
            <a:rPr kumimoji="1" lang="ja-JP" altLang="en-US" sz="1100" baseline="0"/>
            <a:t>　　　合計必要数と合計予定数を比較したものが「判定（将来）」となる。</a:t>
          </a:r>
          <a:endParaRPr kumimoji="1" lang="en-US" altLang="ja-JP" sz="1100" baseline="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D3DE4-F39D-4395-A7AC-B375FF5CBC8F}">
  <dimension ref="A1:X70"/>
  <sheetViews>
    <sheetView tabSelected="1" view="pageBreakPreview" zoomScale="40" zoomScaleNormal="85" zoomScaleSheetLayoutView="40" workbookViewId="0"/>
  </sheetViews>
  <sheetFormatPr defaultColWidth="9" defaultRowHeight="37.5" customHeight="1" x14ac:dyDescent="0.4"/>
  <cols>
    <col min="1" max="1" width="9" style="1"/>
    <col min="2" max="2" width="22.625" style="1" customWidth="1"/>
    <col min="3" max="13" width="20.375" style="1" customWidth="1"/>
    <col min="14" max="16" width="9" style="1"/>
    <col min="17" max="17" width="22.75" style="1" customWidth="1"/>
    <col min="18" max="19" width="10.75" style="1" bestFit="1" customWidth="1"/>
    <col min="20" max="20" width="12.625" style="1" customWidth="1"/>
    <col min="21" max="24" width="10.75" style="1" bestFit="1" customWidth="1"/>
    <col min="25" max="16384" width="9" style="1"/>
  </cols>
  <sheetData>
    <row r="1" spans="1:24" ht="37.5" customHeight="1" thickBot="1" x14ac:dyDescent="0.45"/>
    <row r="2" spans="1:24" ht="37.5" customHeight="1" thickBot="1" x14ac:dyDescent="0.45">
      <c r="B2" s="178" t="s">
        <v>1</v>
      </c>
      <c r="C2" s="177"/>
      <c r="D2" s="296" t="s">
        <v>124</v>
      </c>
      <c r="E2" s="296"/>
      <c r="F2" s="296"/>
      <c r="G2" s="296"/>
      <c r="H2" s="296"/>
      <c r="I2" s="296"/>
      <c r="J2" s="296"/>
      <c r="K2" s="296"/>
      <c r="L2" s="296"/>
    </row>
    <row r="3" spans="1:24" ht="35.25" customHeight="1" thickBot="1" x14ac:dyDescent="0.45">
      <c r="A3" s="176"/>
      <c r="B3" s="179" t="s">
        <v>111</v>
      </c>
      <c r="C3" s="176"/>
      <c r="D3" s="296"/>
      <c r="E3" s="296"/>
      <c r="F3" s="296"/>
      <c r="G3" s="296"/>
      <c r="H3" s="296"/>
      <c r="I3" s="296"/>
      <c r="J3" s="296"/>
      <c r="K3" s="296"/>
      <c r="L3" s="296"/>
      <c r="M3" s="176"/>
      <c r="N3" s="176"/>
    </row>
    <row r="4" spans="1:24" ht="20.25" customHeight="1" thickBot="1" x14ac:dyDescent="0.45">
      <c r="B4" s="180"/>
      <c r="C4" s="180"/>
      <c r="D4" s="180"/>
      <c r="E4" s="180"/>
      <c r="F4" s="180"/>
      <c r="G4" s="180"/>
    </row>
    <row r="5" spans="1:24" s="132" customFormat="1" ht="47.25" customHeight="1" thickBot="1" x14ac:dyDescent="0.45">
      <c r="A5" s="272" t="s">
        <v>0</v>
      </c>
      <c r="B5" s="273"/>
      <c r="C5" s="273"/>
      <c r="D5" s="273"/>
      <c r="E5" s="273"/>
      <c r="F5" s="274"/>
      <c r="G5" s="131"/>
      <c r="H5" s="272" t="s">
        <v>72</v>
      </c>
      <c r="I5" s="273"/>
      <c r="J5" s="273"/>
      <c r="K5" s="273"/>
      <c r="L5" s="273"/>
      <c r="M5" s="273"/>
      <c r="N5" s="274"/>
    </row>
    <row r="6" spans="1:24" s="11" customFormat="1" ht="36" customHeight="1" x14ac:dyDescent="0.4">
      <c r="A6" s="297" t="s">
        <v>125</v>
      </c>
      <c r="B6" s="298"/>
      <c r="C6" s="298"/>
      <c r="D6" s="298"/>
      <c r="E6" s="298"/>
      <c r="F6" s="299"/>
      <c r="G6" s="52"/>
      <c r="H6" s="303" t="s">
        <v>127</v>
      </c>
      <c r="I6" s="298"/>
      <c r="J6" s="298"/>
      <c r="K6" s="298"/>
      <c r="L6" s="298"/>
      <c r="M6" s="298"/>
      <c r="N6" s="299"/>
    </row>
    <row r="7" spans="1:24" s="11" customFormat="1" ht="36" customHeight="1" x14ac:dyDescent="0.4">
      <c r="A7" s="297"/>
      <c r="B7" s="298"/>
      <c r="C7" s="298"/>
      <c r="D7" s="298"/>
      <c r="E7" s="298"/>
      <c r="F7" s="299"/>
      <c r="G7" s="52"/>
      <c r="H7" s="297"/>
      <c r="I7" s="298"/>
      <c r="J7" s="298"/>
      <c r="K7" s="298"/>
      <c r="L7" s="298"/>
      <c r="M7" s="298"/>
      <c r="N7" s="299"/>
    </row>
    <row r="8" spans="1:24" s="11" customFormat="1" ht="36" customHeight="1" x14ac:dyDescent="0.4">
      <c r="A8" s="297"/>
      <c r="B8" s="298"/>
      <c r="C8" s="298"/>
      <c r="D8" s="298"/>
      <c r="E8" s="298"/>
      <c r="F8" s="299"/>
      <c r="G8" s="52"/>
      <c r="H8" s="297"/>
      <c r="I8" s="298"/>
      <c r="J8" s="298"/>
      <c r="K8" s="298"/>
      <c r="L8" s="298"/>
      <c r="M8" s="298"/>
      <c r="N8" s="299"/>
    </row>
    <row r="9" spans="1:24" s="11" customFormat="1" ht="93.75" customHeight="1" thickBot="1" x14ac:dyDescent="0.45">
      <c r="A9" s="300"/>
      <c r="B9" s="301"/>
      <c r="C9" s="301"/>
      <c r="D9" s="301"/>
      <c r="E9" s="301"/>
      <c r="F9" s="302"/>
      <c r="G9" s="52"/>
      <c r="H9" s="300"/>
      <c r="I9" s="301"/>
      <c r="J9" s="301"/>
      <c r="K9" s="301"/>
      <c r="L9" s="301"/>
      <c r="M9" s="301"/>
      <c r="N9" s="302"/>
    </row>
    <row r="10" spans="1:24" ht="36" customHeight="1" thickBot="1" x14ac:dyDescent="0.45">
      <c r="B10" s="2"/>
      <c r="C10" s="3"/>
      <c r="D10" s="3"/>
      <c r="E10" s="3"/>
      <c r="F10" s="3"/>
      <c r="G10" s="3"/>
      <c r="H10" s="3"/>
      <c r="I10" s="3"/>
      <c r="J10" s="2"/>
      <c r="K10" s="2"/>
      <c r="L10" s="2"/>
      <c r="M10" s="2"/>
      <c r="T10" s="291" t="s">
        <v>114</v>
      </c>
      <c r="U10" s="291"/>
      <c r="V10" s="291"/>
      <c r="W10" s="291"/>
      <c r="X10" s="291"/>
    </row>
    <row r="11" spans="1:24" ht="47.25" customHeight="1" thickBot="1" x14ac:dyDescent="0.45">
      <c r="A11" s="293" t="s">
        <v>88</v>
      </c>
      <c r="B11" s="294"/>
      <c r="C11" s="294"/>
      <c r="D11" s="294"/>
      <c r="E11" s="294"/>
      <c r="F11" s="294"/>
      <c r="G11" s="294"/>
      <c r="H11" s="294"/>
      <c r="I11" s="294"/>
      <c r="J11" s="294"/>
      <c r="K11" s="294"/>
      <c r="L11" s="294"/>
      <c r="M11" s="294"/>
      <c r="N11" s="295"/>
      <c r="Q11" s="159" t="s">
        <v>112</v>
      </c>
      <c r="T11" s="292"/>
      <c r="U11" s="292"/>
      <c r="V11" s="292"/>
      <c r="W11" s="292"/>
      <c r="X11" s="292"/>
    </row>
    <row r="12" spans="1:24" ht="36" customHeight="1" thickBot="1" x14ac:dyDescent="0.45">
      <c r="A12" s="112"/>
      <c r="B12" s="103"/>
      <c r="C12" s="47"/>
      <c r="D12" s="47"/>
      <c r="E12" s="47"/>
      <c r="F12" s="47"/>
      <c r="G12" s="47"/>
      <c r="H12" s="47"/>
      <c r="I12" s="47"/>
      <c r="J12" s="103"/>
      <c r="K12" s="103"/>
      <c r="L12" s="103"/>
      <c r="M12" s="103"/>
      <c r="N12" s="113"/>
      <c r="Q12" s="172"/>
      <c r="R12" s="168" t="s">
        <v>100</v>
      </c>
      <c r="S12" s="166" t="s">
        <v>101</v>
      </c>
      <c r="T12" s="166" t="s">
        <v>102</v>
      </c>
      <c r="U12" s="166" t="s">
        <v>103</v>
      </c>
      <c r="V12" s="166" t="s">
        <v>104</v>
      </c>
      <c r="W12" s="166" t="s">
        <v>105</v>
      </c>
      <c r="X12" s="167" t="s">
        <v>106</v>
      </c>
    </row>
    <row r="13" spans="1:24" ht="42.75" customHeight="1" thickBot="1" x14ac:dyDescent="0.45">
      <c r="A13" s="112"/>
      <c r="B13" s="235" t="s">
        <v>2</v>
      </c>
      <c r="C13" s="236"/>
      <c r="D13" s="237"/>
      <c r="E13" s="47"/>
      <c r="F13" s="105"/>
      <c r="G13" s="103"/>
      <c r="H13" s="103"/>
      <c r="I13" s="103"/>
      <c r="J13" s="103"/>
      <c r="K13" s="103"/>
      <c r="L13" s="232" t="s">
        <v>89</v>
      </c>
      <c r="M13" s="233"/>
      <c r="N13" s="113"/>
      <c r="Q13" s="173" t="s">
        <v>97</v>
      </c>
      <c r="R13" s="169">
        <f>$C$15*5</f>
        <v>0</v>
      </c>
      <c r="S13" s="164">
        <f>$C$15*5*2</f>
        <v>0</v>
      </c>
      <c r="T13" s="164">
        <f>$C$15*5*3</f>
        <v>0</v>
      </c>
      <c r="U13" s="164">
        <f>$C$15*5*4</f>
        <v>0</v>
      </c>
      <c r="V13" s="164">
        <f>$C$15*5*5</f>
        <v>0</v>
      </c>
      <c r="W13" s="164">
        <f>$C$15*5*6</f>
        <v>0</v>
      </c>
      <c r="X13" s="165">
        <f>$C$15*5*7</f>
        <v>0</v>
      </c>
    </row>
    <row r="14" spans="1:24" ht="36" customHeight="1" thickBot="1" x14ac:dyDescent="0.45">
      <c r="A14" s="112"/>
      <c r="B14" s="4" t="s">
        <v>3</v>
      </c>
      <c r="C14" s="5"/>
      <c r="D14" s="6" t="s">
        <v>4</v>
      </c>
      <c r="E14" s="103"/>
      <c r="F14" s="103"/>
      <c r="G14" s="103"/>
      <c r="H14" s="103"/>
      <c r="I14" s="103"/>
      <c r="J14" s="103"/>
      <c r="K14" s="103"/>
      <c r="L14" s="12">
        <f>C14*C15*5</f>
        <v>0</v>
      </c>
      <c r="M14" s="7" t="s">
        <v>61</v>
      </c>
      <c r="N14" s="113"/>
      <c r="Q14" s="173" t="s">
        <v>98</v>
      </c>
      <c r="R14" s="170" t="e">
        <f t="shared" ref="R14:V14" si="0">SUM(R19:R24,R32:R36)</f>
        <v>#DIV/0!</v>
      </c>
      <c r="S14" s="160" t="e">
        <f t="shared" si="0"/>
        <v>#DIV/0!</v>
      </c>
      <c r="T14" s="160" t="e">
        <f t="shared" si="0"/>
        <v>#DIV/0!</v>
      </c>
      <c r="U14" s="160" t="e">
        <f t="shared" si="0"/>
        <v>#DIV/0!</v>
      </c>
      <c r="V14" s="160" t="e">
        <f t="shared" si="0"/>
        <v>#DIV/0!</v>
      </c>
      <c r="W14" s="160" t="e">
        <f>SUM(W19:W24,W32:W36)</f>
        <v>#DIV/0!</v>
      </c>
      <c r="X14" s="161" t="e">
        <f t="shared" ref="X14" si="1">SUM(X19:X24,X32:X36)</f>
        <v>#DIV/0!</v>
      </c>
    </row>
    <row r="15" spans="1:24" ht="36" customHeight="1" thickBot="1" x14ac:dyDescent="0.45">
      <c r="A15" s="112"/>
      <c r="B15" s="196" t="s">
        <v>115</v>
      </c>
      <c r="C15" s="8"/>
      <c r="D15" s="9" t="s">
        <v>5</v>
      </c>
      <c r="E15" s="103"/>
      <c r="F15" s="103"/>
      <c r="G15" s="103"/>
      <c r="H15" s="103"/>
      <c r="I15" s="103"/>
      <c r="J15" s="103"/>
      <c r="K15" s="103"/>
      <c r="L15" s="103"/>
      <c r="M15" s="106"/>
      <c r="N15" s="114"/>
      <c r="Q15" s="174" t="s">
        <v>99</v>
      </c>
      <c r="R15" s="171" t="e">
        <f>IF(R14&gt;R13,"〇","×")</f>
        <v>#DIV/0!</v>
      </c>
      <c r="S15" s="162" t="e">
        <f t="shared" ref="S15:X15" si="2">IF(S14&gt;S13,"〇","×")</f>
        <v>#DIV/0!</v>
      </c>
      <c r="T15" s="162" t="e">
        <f t="shared" si="2"/>
        <v>#DIV/0!</v>
      </c>
      <c r="U15" s="162" t="e">
        <f t="shared" si="2"/>
        <v>#DIV/0!</v>
      </c>
      <c r="V15" s="162" t="e">
        <f t="shared" si="2"/>
        <v>#DIV/0!</v>
      </c>
      <c r="W15" s="162" t="e">
        <f t="shared" si="2"/>
        <v>#DIV/0!</v>
      </c>
      <c r="X15" s="163" t="e">
        <f t="shared" si="2"/>
        <v>#DIV/0!</v>
      </c>
    </row>
    <row r="16" spans="1:24" customFormat="1" ht="36" customHeight="1" thickBot="1" x14ac:dyDescent="0.45">
      <c r="A16" s="115"/>
      <c r="B16" s="106"/>
      <c r="C16" s="106"/>
      <c r="D16" s="106"/>
      <c r="E16" s="106"/>
      <c r="F16" s="106"/>
      <c r="G16" s="106"/>
      <c r="H16" s="106"/>
      <c r="I16" s="106"/>
      <c r="J16" s="106"/>
      <c r="K16" s="106"/>
      <c r="L16" s="106"/>
      <c r="M16" s="101"/>
      <c r="N16" s="113"/>
    </row>
    <row r="17" spans="1:24" ht="45.75" customHeight="1" thickBot="1" x14ac:dyDescent="0.45">
      <c r="A17" s="112"/>
      <c r="B17" s="232" t="s">
        <v>91</v>
      </c>
      <c r="C17" s="234"/>
      <c r="D17" s="234"/>
      <c r="E17" s="234"/>
      <c r="F17" s="234"/>
      <c r="G17" s="234"/>
      <c r="H17" s="234"/>
      <c r="I17" s="234"/>
      <c r="J17" s="233"/>
      <c r="K17" s="109"/>
      <c r="L17" s="232" t="s">
        <v>90</v>
      </c>
      <c r="M17" s="233"/>
      <c r="N17" s="113"/>
    </row>
    <row r="18" spans="1:24" ht="36" customHeight="1" thickBot="1" x14ac:dyDescent="0.45">
      <c r="A18" s="112"/>
      <c r="B18" s="94" t="s">
        <v>6</v>
      </c>
      <c r="C18" s="287" t="s">
        <v>55</v>
      </c>
      <c r="D18" s="288"/>
      <c r="E18" s="90" t="s">
        <v>73</v>
      </c>
      <c r="F18" s="289" t="s">
        <v>7</v>
      </c>
      <c r="G18" s="288"/>
      <c r="H18" s="289" t="s">
        <v>8</v>
      </c>
      <c r="I18" s="290"/>
      <c r="J18" s="87" t="s">
        <v>9</v>
      </c>
      <c r="K18" s="109"/>
      <c r="L18" s="12">
        <f>L14-J25</f>
        <v>0</v>
      </c>
      <c r="M18" s="7" t="s">
        <v>61</v>
      </c>
      <c r="N18" s="113"/>
      <c r="Q18" s="202" t="s">
        <v>110</v>
      </c>
      <c r="R18" s="1" t="s">
        <v>100</v>
      </c>
      <c r="S18" s="1" t="s">
        <v>101</v>
      </c>
      <c r="T18" s="1" t="s">
        <v>107</v>
      </c>
      <c r="U18" s="1" t="s">
        <v>103</v>
      </c>
      <c r="V18" s="1" t="s">
        <v>104</v>
      </c>
      <c r="W18" s="1" t="s">
        <v>105</v>
      </c>
      <c r="X18" s="1" t="s">
        <v>106</v>
      </c>
    </row>
    <row r="19" spans="1:24" ht="36" customHeight="1" x14ac:dyDescent="0.4">
      <c r="A19" s="112"/>
      <c r="B19" s="181" t="s">
        <v>16</v>
      </c>
      <c r="C19" s="182"/>
      <c r="D19" s="183" t="s">
        <v>81</v>
      </c>
      <c r="E19" s="184" t="s">
        <v>11</v>
      </c>
      <c r="F19" s="185"/>
      <c r="G19" s="183" t="s">
        <v>74</v>
      </c>
      <c r="H19" s="186" t="s">
        <v>11</v>
      </c>
      <c r="I19" s="187" t="s">
        <v>75</v>
      </c>
      <c r="J19" s="188">
        <f>C19</f>
        <v>0</v>
      </c>
      <c r="K19" s="103"/>
      <c r="L19" s="103"/>
      <c r="M19" s="103"/>
      <c r="N19" s="113"/>
      <c r="Q19" s="158" t="s">
        <v>16</v>
      </c>
      <c r="R19" s="1">
        <f>IF($F19&lt;=1,$J19,0)</f>
        <v>0</v>
      </c>
      <c r="S19" s="1">
        <f>IF($F19&lt;=2,$J19,0)</f>
        <v>0</v>
      </c>
      <c r="T19" s="1">
        <f>IF($F19&lt;=3,$J19,0)</f>
        <v>0</v>
      </c>
      <c r="U19" s="1">
        <f>IF($F19&lt;=4,$J19,0)</f>
        <v>0</v>
      </c>
      <c r="V19" s="1">
        <f>IF($F19&lt;=5,$J19,0)</f>
        <v>0</v>
      </c>
      <c r="W19" s="1">
        <f>IF($F19&lt;=6,$J19,0)</f>
        <v>0</v>
      </c>
      <c r="X19" s="1">
        <f>IF($F19&lt;=7,$J19,0)</f>
        <v>0</v>
      </c>
    </row>
    <row r="20" spans="1:24" ht="36" customHeight="1" x14ac:dyDescent="0.4">
      <c r="A20" s="112"/>
      <c r="B20" s="93" t="s">
        <v>10</v>
      </c>
      <c r="C20" s="91"/>
      <c r="D20" s="84" t="s">
        <v>80</v>
      </c>
      <c r="E20" s="95" t="s">
        <v>11</v>
      </c>
      <c r="F20" s="88"/>
      <c r="G20" s="84" t="s">
        <v>74</v>
      </c>
      <c r="H20" s="97" t="s">
        <v>11</v>
      </c>
      <c r="I20" s="85" t="s">
        <v>75</v>
      </c>
      <c r="J20" s="86" t="s">
        <v>11</v>
      </c>
      <c r="K20" s="103"/>
      <c r="L20" s="103"/>
      <c r="M20" s="103"/>
      <c r="N20" s="113"/>
    </row>
    <row r="21" spans="1:24" ht="36" customHeight="1" x14ac:dyDescent="0.4">
      <c r="A21" s="112"/>
      <c r="B21" s="16" t="s">
        <v>12</v>
      </c>
      <c r="C21" s="92"/>
      <c r="D21" s="53" t="s">
        <v>81</v>
      </c>
      <c r="E21" s="96" t="s">
        <v>11</v>
      </c>
      <c r="F21" s="74"/>
      <c r="G21" s="53" t="s">
        <v>74</v>
      </c>
      <c r="H21" s="98" t="s">
        <v>11</v>
      </c>
      <c r="I21" s="55" t="s">
        <v>75</v>
      </c>
      <c r="J21" s="99">
        <f>C21</f>
        <v>0</v>
      </c>
      <c r="K21" s="103"/>
      <c r="L21" s="103"/>
      <c r="M21" s="103"/>
      <c r="N21" s="113"/>
      <c r="Q21" s="158" t="s">
        <v>12</v>
      </c>
      <c r="R21" s="1">
        <f>IF($F21&lt;=1,$J21,0)</f>
        <v>0</v>
      </c>
      <c r="S21" s="1">
        <f>IF($F21&lt;=2,$J21,0)</f>
        <v>0</v>
      </c>
      <c r="T21" s="1">
        <f>IF($F21&lt;=3,$J21,0)</f>
        <v>0</v>
      </c>
      <c r="U21" s="1">
        <f>IF($F21&lt;=4,$J21,0)</f>
        <v>0</v>
      </c>
      <c r="V21" s="1">
        <f>IF($F21&lt;=5,$J21,0)</f>
        <v>0</v>
      </c>
      <c r="W21" s="1">
        <f>IF($F21&lt;=6,$J21,0)</f>
        <v>0</v>
      </c>
      <c r="X21" s="1">
        <f>IF($F21&lt;=7,$J21,0)</f>
        <v>0</v>
      </c>
    </row>
    <row r="22" spans="1:24" ht="36" customHeight="1" x14ac:dyDescent="0.4">
      <c r="A22" s="112"/>
      <c r="B22" s="16" t="s">
        <v>13</v>
      </c>
      <c r="C22" s="92"/>
      <c r="D22" s="81" t="s">
        <v>80</v>
      </c>
      <c r="E22" s="70"/>
      <c r="F22" s="74"/>
      <c r="G22" s="81" t="s">
        <v>74</v>
      </c>
      <c r="H22" s="89"/>
      <c r="I22" s="82" t="s">
        <v>75</v>
      </c>
      <c r="J22" s="99">
        <f>IF(H22&lt;0.00001,0,($C$14+1-F22)/H22*C22*E22/0.5)</f>
        <v>0</v>
      </c>
      <c r="K22" s="103"/>
      <c r="L22" s="103"/>
      <c r="M22" s="103"/>
      <c r="N22" s="113"/>
      <c r="Q22" s="158" t="s">
        <v>108</v>
      </c>
      <c r="R22" s="1" t="e">
        <f>IF($F22&lt;=1,$J22,0)*1/$C$14</f>
        <v>#DIV/0!</v>
      </c>
      <c r="S22" s="1" t="e">
        <f>IF($F22&lt;=2,$J22,0)*2/$C$14</f>
        <v>#DIV/0!</v>
      </c>
      <c r="T22" s="1" t="e">
        <f>IF($F22&lt;=3,$J22,0)*3/$C$14</f>
        <v>#DIV/0!</v>
      </c>
      <c r="U22" s="1" t="e">
        <f>IF($F22&lt;=4,$J22,0)*4/$C$14</f>
        <v>#DIV/0!</v>
      </c>
      <c r="V22" s="1" t="e">
        <f>IF($F22&lt;=5,$J22,0)*5/$C$14</f>
        <v>#DIV/0!</v>
      </c>
      <c r="W22" s="1" t="e">
        <f>IF($F22&lt;=6,$J22,0)*6/$C$14</f>
        <v>#DIV/0!</v>
      </c>
      <c r="X22" s="1" t="e">
        <f>IF($F22&lt;=7,$J22,0)*7/$C$14</f>
        <v>#DIV/0!</v>
      </c>
    </row>
    <row r="23" spans="1:24" ht="36" customHeight="1" x14ac:dyDescent="0.4">
      <c r="A23" s="112"/>
      <c r="B23" s="16" t="s">
        <v>14</v>
      </c>
      <c r="C23" s="92"/>
      <c r="D23" s="53" t="s">
        <v>80</v>
      </c>
      <c r="E23" s="70"/>
      <c r="F23" s="74"/>
      <c r="G23" s="53" t="s">
        <v>74</v>
      </c>
      <c r="H23" s="56"/>
      <c r="I23" s="83" t="s">
        <v>75</v>
      </c>
      <c r="J23" s="99">
        <f>IF(H23&lt;0.00001,0,($C$14+1-F23)/H23*C23*E23/0.5)</f>
        <v>0</v>
      </c>
      <c r="K23" s="103"/>
      <c r="L23" s="103"/>
      <c r="M23" s="103"/>
      <c r="N23" s="113"/>
      <c r="Q23" s="158" t="s">
        <v>84</v>
      </c>
      <c r="R23" s="1" t="e">
        <f>IF($F23&lt;=1,$J23,0)*1/$C$14</f>
        <v>#DIV/0!</v>
      </c>
      <c r="S23" s="1" t="e">
        <f>IF($F23&lt;=2,$J23,0)*2/$C$14</f>
        <v>#DIV/0!</v>
      </c>
      <c r="T23" s="1" t="e">
        <f>IF($F23&lt;=3,$J23,0)*3/$C$14</f>
        <v>#DIV/0!</v>
      </c>
      <c r="U23" s="1" t="e">
        <f>IF($F23&lt;=4,$J23,0)*4/$C$14</f>
        <v>#DIV/0!</v>
      </c>
      <c r="V23" s="1" t="e">
        <f>IF($F23&lt;=5,$J23,0)*5/$C$14</f>
        <v>#DIV/0!</v>
      </c>
      <c r="W23" s="1" t="e">
        <f>IF($F23&lt;=6,$J23,0)*6/$C$14</f>
        <v>#DIV/0!</v>
      </c>
      <c r="X23" s="1" t="e">
        <f>IF($F23&lt;=7,$J23,0)*7/$C$14</f>
        <v>#DIV/0!</v>
      </c>
    </row>
    <row r="24" spans="1:24" ht="37.5" customHeight="1" thickBot="1" x14ac:dyDescent="0.45">
      <c r="A24" s="112"/>
      <c r="B24" s="14" t="s">
        <v>15</v>
      </c>
      <c r="C24" s="92"/>
      <c r="D24" s="53" t="s">
        <v>80</v>
      </c>
      <c r="E24" s="70"/>
      <c r="F24" s="74"/>
      <c r="G24" s="53" t="s">
        <v>74</v>
      </c>
      <c r="H24" s="56"/>
      <c r="I24" s="55" t="s">
        <v>75</v>
      </c>
      <c r="J24" s="99">
        <f>IF(H24&lt;0.00001,0,($C$14+1-F24)/H24*C24*E24/5)</f>
        <v>0</v>
      </c>
      <c r="K24" s="103"/>
      <c r="L24" s="103"/>
      <c r="M24" s="103"/>
      <c r="N24" s="113"/>
      <c r="Q24" s="158" t="s">
        <v>15</v>
      </c>
      <c r="R24" s="1" t="e">
        <f>IF($F24&lt;=1,$J24,0)*1/$C$14</f>
        <v>#DIV/0!</v>
      </c>
      <c r="S24" s="1" t="e">
        <f>IF($F24&lt;=2,$J24,0)*2/$C$14</f>
        <v>#DIV/0!</v>
      </c>
      <c r="T24" s="1" t="e">
        <f>IF($F24&lt;=3,$J24,0)*3/$C$14</f>
        <v>#DIV/0!</v>
      </c>
      <c r="U24" s="1" t="e">
        <f>IF($F24&lt;=4,$J24,0)*4/$C$14</f>
        <v>#DIV/0!</v>
      </c>
      <c r="V24" s="1" t="e">
        <f>IF($F24&lt;=5,$J24,0)*5/$C$14</f>
        <v>#DIV/0!</v>
      </c>
      <c r="W24" s="1" t="e">
        <f>IF($F24&lt;=6,$J24,0)*6/$C$14</f>
        <v>#DIV/0!</v>
      </c>
      <c r="X24" s="1" t="e">
        <f>IF($F24&lt;=7,$J24,0)*7/$C$14</f>
        <v>#DIV/0!</v>
      </c>
    </row>
    <row r="25" spans="1:24" ht="36" customHeight="1" thickBot="1" x14ac:dyDescent="0.45">
      <c r="A25" s="112"/>
      <c r="B25" s="17" t="s">
        <v>17</v>
      </c>
      <c r="C25" s="268" t="s">
        <v>11</v>
      </c>
      <c r="D25" s="269"/>
      <c r="E25" s="34" t="s">
        <v>11</v>
      </c>
      <c r="F25" s="268" t="s">
        <v>11</v>
      </c>
      <c r="G25" s="269"/>
      <c r="H25" s="268" t="s">
        <v>11</v>
      </c>
      <c r="I25" s="270"/>
      <c r="J25" s="100">
        <f>SUM(J19:J24)</f>
        <v>0</v>
      </c>
      <c r="K25" s="103"/>
      <c r="L25" s="103"/>
      <c r="M25" s="103"/>
      <c r="N25" s="113"/>
    </row>
    <row r="26" spans="1:24" ht="36" customHeight="1" thickBot="1" x14ac:dyDescent="0.45">
      <c r="A26" s="116"/>
      <c r="B26" s="117"/>
      <c r="C26" s="271">
        <f>SUM(C20+C22+C24+C23)</f>
        <v>0</v>
      </c>
      <c r="D26" s="271"/>
      <c r="E26" s="118"/>
      <c r="F26" s="118"/>
      <c r="G26" s="118"/>
      <c r="H26" s="117"/>
      <c r="I26" s="117"/>
      <c r="J26" s="117"/>
      <c r="K26" s="117"/>
      <c r="L26" s="117"/>
      <c r="M26" s="117"/>
      <c r="N26" s="119"/>
    </row>
    <row r="27" spans="1:24" ht="36" customHeight="1" thickBot="1" x14ac:dyDescent="0.45">
      <c r="A27" s="109"/>
      <c r="B27" s="103"/>
      <c r="C27" s="110"/>
      <c r="D27" s="110"/>
      <c r="E27" s="111"/>
      <c r="F27" s="111"/>
      <c r="G27" s="111"/>
      <c r="H27" s="103"/>
      <c r="I27" s="103"/>
      <c r="J27" s="103"/>
      <c r="K27" s="103"/>
      <c r="L27" s="103"/>
      <c r="M27" s="103"/>
      <c r="N27" s="109"/>
    </row>
    <row r="28" spans="1:24" ht="47.25" customHeight="1" thickBot="1" x14ac:dyDescent="0.45">
      <c r="A28" s="272" t="s">
        <v>83</v>
      </c>
      <c r="B28" s="273"/>
      <c r="C28" s="273"/>
      <c r="D28" s="273"/>
      <c r="E28" s="273"/>
      <c r="F28" s="273"/>
      <c r="G28" s="273"/>
      <c r="H28" s="273"/>
      <c r="I28" s="273"/>
      <c r="J28" s="273"/>
      <c r="K28" s="273"/>
      <c r="L28" s="273"/>
      <c r="M28" s="273"/>
      <c r="N28" s="274"/>
    </row>
    <row r="29" spans="1:24" ht="36" customHeight="1" thickBot="1" x14ac:dyDescent="0.45">
      <c r="A29" s="102"/>
      <c r="B29" s="120"/>
      <c r="C29" s="120"/>
      <c r="D29" s="120"/>
      <c r="E29" s="120"/>
      <c r="F29" s="120"/>
      <c r="G29" s="120"/>
      <c r="H29" s="120"/>
      <c r="I29" s="120"/>
      <c r="J29" s="120"/>
      <c r="K29" s="120"/>
      <c r="L29" s="120"/>
      <c r="M29" s="120"/>
      <c r="N29" s="104"/>
    </row>
    <row r="30" spans="1:24" ht="35.450000000000003" customHeight="1" thickBot="1" x14ac:dyDescent="0.45">
      <c r="A30" s="102"/>
      <c r="B30" s="275" t="s">
        <v>58</v>
      </c>
      <c r="C30" s="276"/>
      <c r="D30" s="276"/>
      <c r="E30" s="276"/>
      <c r="F30" s="276"/>
      <c r="G30" s="276"/>
      <c r="H30" s="276"/>
      <c r="I30" s="276"/>
      <c r="J30" s="276"/>
      <c r="K30" s="277"/>
      <c r="L30" s="109"/>
      <c r="M30" s="109"/>
      <c r="N30" s="104"/>
      <c r="Q30" s="175" t="s">
        <v>109</v>
      </c>
    </row>
    <row r="31" spans="1:24" ht="35.450000000000003" customHeight="1" thickBot="1" x14ac:dyDescent="0.45">
      <c r="A31" s="102"/>
      <c r="B31" s="198" t="s">
        <v>6</v>
      </c>
      <c r="C31" s="278" t="s">
        <v>82</v>
      </c>
      <c r="D31" s="279"/>
      <c r="E31" s="59" t="s">
        <v>73</v>
      </c>
      <c r="F31" s="280" t="s">
        <v>7</v>
      </c>
      <c r="G31" s="240"/>
      <c r="H31" s="280" t="s">
        <v>8</v>
      </c>
      <c r="I31" s="281"/>
      <c r="J31" s="201" t="s">
        <v>113</v>
      </c>
      <c r="K31" s="148" t="s">
        <v>9</v>
      </c>
      <c r="L31" s="103"/>
      <c r="M31" s="103"/>
      <c r="N31" s="104"/>
      <c r="R31" s="1" t="s">
        <v>100</v>
      </c>
      <c r="S31" s="1" t="s">
        <v>101</v>
      </c>
      <c r="T31" s="1" t="s">
        <v>102</v>
      </c>
      <c r="U31" s="1" t="s">
        <v>103</v>
      </c>
      <c r="V31" s="1" t="s">
        <v>104</v>
      </c>
      <c r="W31" s="1" t="s">
        <v>105</v>
      </c>
      <c r="X31" s="1" t="s">
        <v>106</v>
      </c>
    </row>
    <row r="32" spans="1:24" ht="35.450000000000003" customHeight="1" x14ac:dyDescent="0.4">
      <c r="A32" s="102"/>
      <c r="B32" s="181" t="s">
        <v>16</v>
      </c>
      <c r="C32" s="282"/>
      <c r="D32" s="283"/>
      <c r="E32" s="284"/>
      <c r="F32" s="194"/>
      <c r="G32" s="183" t="s">
        <v>74</v>
      </c>
      <c r="H32" s="285"/>
      <c r="I32" s="286"/>
      <c r="J32" s="185"/>
      <c r="K32" s="195">
        <f>J32</f>
        <v>0</v>
      </c>
      <c r="L32" s="103"/>
      <c r="M32" s="103"/>
      <c r="N32" s="104"/>
      <c r="Q32" s="158" t="s">
        <v>16</v>
      </c>
      <c r="R32" s="1">
        <f>IF($F32&lt;=1,$K32,0)</f>
        <v>0</v>
      </c>
      <c r="S32" s="1">
        <f>IF($F32&lt;=2,$K32,0)</f>
        <v>0</v>
      </c>
      <c r="T32" s="1">
        <f>IF($F32&lt;=3,$K32,0)</f>
        <v>0</v>
      </c>
      <c r="U32" s="1">
        <f>IF($F32&lt;=4,$K32,0)</f>
        <v>0</v>
      </c>
      <c r="V32" s="1">
        <f>IF($F32&lt;=5,$K32,0)</f>
        <v>0</v>
      </c>
      <c r="W32" s="1">
        <f>IF($F32&lt;=6,$K32,0)</f>
        <v>0</v>
      </c>
      <c r="X32" s="1">
        <f>IF($F32&lt;=7,$K32,0)</f>
        <v>0</v>
      </c>
    </row>
    <row r="33" spans="1:24" ht="35.450000000000003" customHeight="1" x14ac:dyDescent="0.4">
      <c r="A33" s="102"/>
      <c r="B33" s="191" t="s">
        <v>12</v>
      </c>
      <c r="C33" s="263"/>
      <c r="D33" s="264"/>
      <c r="E33" s="265"/>
      <c r="F33" s="192"/>
      <c r="G33" s="84" t="s">
        <v>74</v>
      </c>
      <c r="H33" s="266"/>
      <c r="I33" s="267"/>
      <c r="J33" s="88"/>
      <c r="K33" s="193">
        <f>J33</f>
        <v>0</v>
      </c>
      <c r="L33" s="103"/>
      <c r="M33" s="103"/>
      <c r="N33" s="104"/>
      <c r="Q33" s="158" t="s">
        <v>12</v>
      </c>
      <c r="R33" s="1">
        <f>IF($F33&lt;=1,$K33,0)</f>
        <v>0</v>
      </c>
      <c r="S33" s="1">
        <f>IF($F33&lt;=2,$K33,0)</f>
        <v>0</v>
      </c>
      <c r="T33" s="1">
        <f>IF($F33&lt;=3,$K33,0)</f>
        <v>0</v>
      </c>
      <c r="U33" s="1">
        <f>IF($F33&lt;=4,$K33,0)</f>
        <v>0</v>
      </c>
      <c r="V33" s="1">
        <f>IF($F33&lt;=5,$K33,0)</f>
        <v>0</v>
      </c>
      <c r="W33" s="1">
        <f>IF($F33&lt;=6,$K33,0)</f>
        <v>0</v>
      </c>
      <c r="X33" s="1">
        <f>IF($F33&lt;=7,$K33,0)</f>
        <v>0</v>
      </c>
    </row>
    <row r="34" spans="1:24" ht="35.450000000000003" customHeight="1" x14ac:dyDescent="0.4">
      <c r="A34" s="102"/>
      <c r="B34" s="16" t="s">
        <v>13</v>
      </c>
      <c r="C34" s="60"/>
      <c r="D34" s="53" t="s">
        <v>80</v>
      </c>
      <c r="E34" s="57"/>
      <c r="F34" s="57"/>
      <c r="G34" s="53" t="s">
        <v>74</v>
      </c>
      <c r="H34" s="56"/>
      <c r="I34" s="53" t="s">
        <v>75</v>
      </c>
      <c r="J34" s="251"/>
      <c r="K34" s="149">
        <f>IF(H34&lt;0.0001,0,($C$14+1-F34)/H34*C34*E34/0.5)</f>
        <v>0</v>
      </c>
      <c r="L34" s="103"/>
      <c r="M34" s="103"/>
      <c r="N34" s="104"/>
      <c r="Q34" s="158" t="s">
        <v>108</v>
      </c>
      <c r="R34" s="1" t="e">
        <f>IF($F34&lt;=1,$K34,0)*1/$C$14</f>
        <v>#DIV/0!</v>
      </c>
      <c r="S34" s="1">
        <f>IF($F34&lt;=2,$K34,0)*(2+1-F34)/($C$14+1-F34)</f>
        <v>0</v>
      </c>
      <c r="T34" s="1">
        <f>IF($F34&lt;=3,$K34,0)*(3+1-F34)/($C$14+1-F34)</f>
        <v>0</v>
      </c>
      <c r="U34" s="1">
        <f>IF($F34&lt;=4,$K34,0)*(4+1-F34)/($C$14+1-F34)</f>
        <v>0</v>
      </c>
      <c r="V34" s="1">
        <f>IF($F34&lt;=5,$K34,0)*(5+1-F34)/($C$14+1-F34)</f>
        <v>0</v>
      </c>
      <c r="W34" s="1">
        <f>IF($F34&lt;=6,$K34,0)*(6+1-F34)/($C$14+1-F34)</f>
        <v>0</v>
      </c>
      <c r="X34" s="1">
        <f>IF($F34&lt;=7,$K34,0)*(7+1-F34)/($C$14+1-F34)</f>
        <v>0</v>
      </c>
    </row>
    <row r="35" spans="1:24" ht="35.450000000000003" customHeight="1" x14ac:dyDescent="0.4">
      <c r="A35" s="102"/>
      <c r="B35" s="16" t="s">
        <v>14</v>
      </c>
      <c r="C35" s="60"/>
      <c r="D35" s="53" t="s">
        <v>80</v>
      </c>
      <c r="E35" s="57"/>
      <c r="F35" s="57"/>
      <c r="G35" s="53" t="s">
        <v>74</v>
      </c>
      <c r="H35" s="56"/>
      <c r="I35" s="53" t="s">
        <v>75</v>
      </c>
      <c r="J35" s="252"/>
      <c r="K35" s="149">
        <f>IF(H35&lt;0.0001,0,($C$14+1-F35)/H35*C35*E35/0.5)</f>
        <v>0</v>
      </c>
      <c r="L35" s="103"/>
      <c r="M35" s="103"/>
      <c r="N35" s="104"/>
      <c r="Q35" s="158" t="s">
        <v>84</v>
      </c>
      <c r="R35" s="1" t="e">
        <f t="shared" ref="R35:R36" si="3">IF($F35&lt;=1,$K35,0)*1/$C$14</f>
        <v>#DIV/0!</v>
      </c>
      <c r="S35" s="1">
        <f t="shared" ref="S35:S36" si="4">IF($F35&lt;=2,$K35,0)*(2+1-F35)/($C$14+1-F35)</f>
        <v>0</v>
      </c>
      <c r="T35" s="1">
        <f t="shared" ref="T35:T36" si="5">IF($F35&lt;=3,$K35,0)*(3+1-F35)/($C$14+1-F35)</f>
        <v>0</v>
      </c>
      <c r="U35" s="1">
        <f t="shared" ref="U35:U36" si="6">IF($F35&lt;=4,$K35,0)*(4+1-F35)/($C$14+1-F35)</f>
        <v>0</v>
      </c>
      <c r="V35" s="1">
        <f t="shared" ref="V35:V36" si="7">IF($F35&lt;=5,$K35,0)*(5+1-F35)/($C$14+1-F35)</f>
        <v>0</v>
      </c>
      <c r="W35" s="1">
        <f t="shared" ref="W35:W36" si="8">IF($F35&lt;=6,$K35,0)*(6+1-F35)/($C$14+1-F35)</f>
        <v>0</v>
      </c>
      <c r="X35" s="1">
        <f t="shared" ref="X35:X36" si="9">IF($F35&lt;=7,$K35,0)*(7+1-F35)/($C$14+1-F35)</f>
        <v>0</v>
      </c>
    </row>
    <row r="36" spans="1:24" ht="35.450000000000003" customHeight="1" thickBot="1" x14ac:dyDescent="0.45">
      <c r="A36" s="102"/>
      <c r="B36" s="18" t="s">
        <v>15</v>
      </c>
      <c r="C36" s="189"/>
      <c r="D36" s="54" t="s">
        <v>80</v>
      </c>
      <c r="E36" s="58"/>
      <c r="F36" s="58"/>
      <c r="G36" s="54" t="s">
        <v>74</v>
      </c>
      <c r="H36" s="190"/>
      <c r="I36" s="54" t="s">
        <v>75</v>
      </c>
      <c r="J36" s="253"/>
      <c r="K36" s="150">
        <f>IF(H36&lt;0.0001,0,($C$14+1-F36)/H36*C36*E36/5)</f>
        <v>0</v>
      </c>
      <c r="L36" s="103"/>
      <c r="M36" s="103"/>
      <c r="N36" s="104"/>
      <c r="Q36" s="158" t="s">
        <v>15</v>
      </c>
      <c r="R36" s="1" t="e">
        <f t="shared" si="3"/>
        <v>#DIV/0!</v>
      </c>
      <c r="S36" s="1">
        <f t="shared" si="4"/>
        <v>0</v>
      </c>
      <c r="T36" s="1">
        <f t="shared" si="5"/>
        <v>0</v>
      </c>
      <c r="U36" s="1">
        <f t="shared" si="6"/>
        <v>0</v>
      </c>
      <c r="V36" s="1">
        <f t="shared" si="7"/>
        <v>0</v>
      </c>
      <c r="W36" s="1">
        <f t="shared" si="8"/>
        <v>0</v>
      </c>
      <c r="X36" s="1">
        <f t="shared" si="9"/>
        <v>0</v>
      </c>
    </row>
    <row r="37" spans="1:24" ht="35.450000000000003" customHeight="1" x14ac:dyDescent="0.4">
      <c r="A37" s="102"/>
      <c r="B37" s="153"/>
      <c r="C37" s="154"/>
      <c r="D37" s="154"/>
      <c r="E37" s="154"/>
      <c r="F37" s="155"/>
      <c r="G37" s="151"/>
      <c r="H37" s="152"/>
      <c r="I37" s="152"/>
      <c r="J37" s="156"/>
      <c r="K37" s="157"/>
      <c r="L37" s="103"/>
      <c r="M37" s="103"/>
      <c r="N37" s="104"/>
    </row>
    <row r="38" spans="1:24" ht="35.450000000000003" customHeight="1" x14ac:dyDescent="0.4">
      <c r="A38" s="102"/>
      <c r="B38" s="153"/>
      <c r="C38" s="154"/>
      <c r="D38" s="154"/>
      <c r="E38" s="154"/>
      <c r="F38" s="155"/>
      <c r="G38" s="151"/>
      <c r="H38" s="152"/>
      <c r="I38" s="152"/>
      <c r="J38" s="156"/>
      <c r="K38" s="157"/>
      <c r="L38" s="103"/>
      <c r="M38" s="103"/>
      <c r="N38" s="104"/>
    </row>
    <row r="39" spans="1:24" ht="35.450000000000003" customHeight="1" x14ac:dyDescent="0.4">
      <c r="A39" s="102"/>
      <c r="B39" s="153"/>
      <c r="C39" s="154"/>
      <c r="D39" s="154"/>
      <c r="E39" s="154"/>
      <c r="F39" s="155"/>
      <c r="G39" s="151"/>
      <c r="H39" s="152"/>
      <c r="I39" s="152"/>
      <c r="J39" s="156"/>
      <c r="K39" s="157"/>
      <c r="L39" s="103"/>
      <c r="M39" s="103"/>
      <c r="N39" s="104"/>
    </row>
    <row r="40" spans="1:24" ht="15.75" customHeight="1" thickBot="1" x14ac:dyDescent="0.45">
      <c r="A40" s="102"/>
      <c r="B40" s="120"/>
      <c r="C40" s="120"/>
      <c r="D40" s="120"/>
      <c r="E40" s="120"/>
      <c r="F40" s="120"/>
      <c r="G40" s="120"/>
      <c r="H40" s="120"/>
      <c r="I40" s="120"/>
      <c r="J40" s="120"/>
      <c r="K40" s="120"/>
      <c r="L40" s="120"/>
      <c r="M40" s="120"/>
      <c r="N40" s="104"/>
    </row>
    <row r="41" spans="1:24" ht="43.5" customHeight="1" thickBot="1" x14ac:dyDescent="0.45">
      <c r="A41" s="102"/>
      <c r="B41" s="235" t="s">
        <v>18</v>
      </c>
      <c r="C41" s="236"/>
      <c r="D41" s="236"/>
      <c r="E41" s="236"/>
      <c r="F41" s="236"/>
      <c r="G41" s="236"/>
      <c r="H41" s="236"/>
      <c r="I41" s="237"/>
      <c r="J41" s="205"/>
      <c r="K41" s="62"/>
      <c r="L41" s="232" t="s">
        <v>92</v>
      </c>
      <c r="M41" s="233"/>
      <c r="N41" s="104"/>
    </row>
    <row r="42" spans="1:24" ht="35.450000000000003" customHeight="1" thickBot="1" x14ac:dyDescent="0.45">
      <c r="A42" s="102"/>
      <c r="B42" s="254" t="s">
        <v>6</v>
      </c>
      <c r="C42" s="248" t="s">
        <v>77</v>
      </c>
      <c r="D42" s="242" t="s">
        <v>116</v>
      </c>
      <c r="E42" s="243"/>
      <c r="F42" s="248"/>
      <c r="G42" s="257" t="s">
        <v>76</v>
      </c>
      <c r="H42" s="261" t="s">
        <v>79</v>
      </c>
      <c r="I42" s="259" t="s">
        <v>78</v>
      </c>
      <c r="K42" s="63"/>
      <c r="L42" s="65">
        <f>L14</f>
        <v>0</v>
      </c>
      <c r="M42" s="64" t="s">
        <v>61</v>
      </c>
      <c r="N42" s="104"/>
    </row>
    <row r="43" spans="1:24" ht="35.450000000000003" customHeight="1" thickBot="1" x14ac:dyDescent="0.45">
      <c r="A43" s="102"/>
      <c r="B43" s="255"/>
      <c r="C43" s="256"/>
      <c r="D43" s="10" t="s">
        <v>19</v>
      </c>
      <c r="E43" s="10" t="s">
        <v>20</v>
      </c>
      <c r="F43" s="199" t="s">
        <v>21</v>
      </c>
      <c r="G43" s="258"/>
      <c r="H43" s="262"/>
      <c r="I43" s="260"/>
      <c r="K43" s="103"/>
      <c r="L43" s="103"/>
      <c r="M43" s="103"/>
      <c r="N43" s="104"/>
    </row>
    <row r="44" spans="1:24" ht="35.25" customHeight="1" thickBot="1" x14ac:dyDescent="0.45">
      <c r="A44" s="102"/>
      <c r="B44" s="206" t="s">
        <v>16</v>
      </c>
      <c r="C44" s="207"/>
      <c r="D44" s="208"/>
      <c r="E44" s="208"/>
      <c r="F44" s="209"/>
      <c r="G44" s="210"/>
      <c r="H44" s="211">
        <f>SUM(C44:G44)</f>
        <v>0</v>
      </c>
      <c r="I44" s="212" t="s">
        <v>47</v>
      </c>
      <c r="K44" s="103"/>
      <c r="L44" s="232" t="s">
        <v>93</v>
      </c>
      <c r="M44" s="233"/>
      <c r="N44" s="104"/>
    </row>
    <row r="45" spans="1:24" ht="35.450000000000003" customHeight="1" thickBot="1" x14ac:dyDescent="0.45">
      <c r="A45" s="102"/>
      <c r="B45" s="220" t="s">
        <v>10</v>
      </c>
      <c r="C45" s="221"/>
      <c r="D45" s="222"/>
      <c r="E45" s="222"/>
      <c r="F45" s="223"/>
      <c r="G45" s="224"/>
      <c r="H45" s="224"/>
      <c r="I45" s="225"/>
      <c r="K45" s="103"/>
      <c r="L45" s="65">
        <f>L18</f>
        <v>0</v>
      </c>
      <c r="M45" s="64" t="s">
        <v>61</v>
      </c>
      <c r="N45" s="104"/>
    </row>
    <row r="46" spans="1:24" ht="35.450000000000003" customHeight="1" thickBot="1" x14ac:dyDescent="0.45">
      <c r="A46" s="102"/>
      <c r="B46" s="213" t="s">
        <v>59</v>
      </c>
      <c r="C46" s="214"/>
      <c r="D46" s="215"/>
      <c r="E46" s="215"/>
      <c r="F46" s="216"/>
      <c r="G46" s="217"/>
      <c r="H46" s="218">
        <f>SUM(C46:G46)</f>
        <v>0</v>
      </c>
      <c r="I46" s="219" t="s">
        <v>47</v>
      </c>
      <c r="K46" s="103"/>
      <c r="L46" s="103"/>
      <c r="M46" s="103"/>
      <c r="N46" s="104"/>
    </row>
    <row r="47" spans="1:24" ht="35.450000000000003" customHeight="1" thickBot="1" x14ac:dyDescent="0.45">
      <c r="A47" s="102"/>
      <c r="B47" s="35" t="s">
        <v>22</v>
      </c>
      <c r="C47" s="68"/>
      <c r="D47" s="70"/>
      <c r="E47" s="70"/>
      <c r="F47" s="69"/>
      <c r="G47" s="71"/>
      <c r="H47" s="72">
        <f>SUM(C47:G47)</f>
        <v>0</v>
      </c>
      <c r="I47" s="61">
        <f>H47*$H$34/(700*($C$14+1-$F$34))</f>
        <v>0</v>
      </c>
      <c r="K47" s="103"/>
      <c r="L47" s="232" t="s">
        <v>51</v>
      </c>
      <c r="M47" s="234"/>
      <c r="N47" s="104"/>
    </row>
    <row r="48" spans="1:24" ht="35.450000000000003" customHeight="1" thickBot="1" x14ac:dyDescent="0.45">
      <c r="A48" s="102"/>
      <c r="B48" s="35" t="s">
        <v>84</v>
      </c>
      <c r="C48" s="68"/>
      <c r="D48" s="70"/>
      <c r="E48" s="70"/>
      <c r="F48" s="69"/>
      <c r="G48" s="71"/>
      <c r="H48" s="72">
        <f>SUM(C48:G48)</f>
        <v>0</v>
      </c>
      <c r="I48" s="61">
        <f>H48*$H$35/(500*($C$14+1-$F$35))</f>
        <v>0</v>
      </c>
      <c r="K48" s="103"/>
      <c r="L48" s="65">
        <f>H50</f>
        <v>0</v>
      </c>
      <c r="M48" s="64" t="s">
        <v>61</v>
      </c>
      <c r="N48" s="104"/>
    </row>
    <row r="49" spans="1:20" ht="35.25" customHeight="1" thickBot="1" x14ac:dyDescent="0.45">
      <c r="A49" s="102"/>
      <c r="B49" s="35" t="s">
        <v>15</v>
      </c>
      <c r="C49" s="68"/>
      <c r="D49" s="70"/>
      <c r="E49" s="70"/>
      <c r="F49" s="69"/>
      <c r="G49" s="71"/>
      <c r="H49" s="72">
        <f>SUM(C49:G49)</f>
        <v>0</v>
      </c>
      <c r="I49" s="61">
        <f>H49*$H$36/(60*($C$14+1-$F$36))</f>
        <v>0</v>
      </c>
      <c r="L49" s="51" t="s">
        <v>70</v>
      </c>
      <c r="M49" s="133" t="str">
        <f>IF(D64&gt;L45,"〇","×")</f>
        <v>×</v>
      </c>
      <c r="N49" s="104"/>
    </row>
    <row r="50" spans="1:20" ht="35.25" customHeight="1" thickBot="1" x14ac:dyDescent="0.45">
      <c r="A50" s="102"/>
      <c r="B50" s="15" t="s">
        <v>17</v>
      </c>
      <c r="C50" s="203"/>
      <c r="D50" s="204"/>
      <c r="E50" s="204"/>
      <c r="F50" s="204"/>
      <c r="G50" s="204"/>
      <c r="H50" s="67">
        <f>SUM(H44:H49)</f>
        <v>0</v>
      </c>
      <c r="I50" s="80">
        <f>SUM(I45:I49)</f>
        <v>0</v>
      </c>
      <c r="K50" s="66"/>
      <c r="N50" s="121"/>
    </row>
    <row r="51" spans="1:20" ht="16.5" customHeight="1" x14ac:dyDescent="0.4">
      <c r="A51" s="102"/>
      <c r="B51" s="46"/>
      <c r="C51" s="50"/>
      <c r="D51" s="50"/>
      <c r="E51" s="50"/>
      <c r="F51" s="50"/>
      <c r="G51" s="50"/>
      <c r="H51" s="122"/>
      <c r="I51" s="122"/>
      <c r="J51" s="103"/>
      <c r="K51" s="103"/>
      <c r="L51" s="103"/>
      <c r="M51" s="103"/>
      <c r="N51" s="104"/>
    </row>
    <row r="52" spans="1:20" ht="16.5" customHeight="1" thickBot="1" x14ac:dyDescent="0.45">
      <c r="A52" s="102"/>
      <c r="B52" s="109"/>
      <c r="C52" s="109"/>
      <c r="D52" s="109"/>
      <c r="E52" s="109"/>
      <c r="F52" s="109"/>
      <c r="G52" s="109"/>
      <c r="H52" s="109"/>
      <c r="I52" s="109"/>
      <c r="J52" s="109"/>
      <c r="K52" s="109"/>
      <c r="L52" s="109"/>
      <c r="M52" s="109"/>
      <c r="N52" s="104"/>
    </row>
    <row r="53" spans="1:20" ht="35.450000000000003" customHeight="1" thickBot="1" x14ac:dyDescent="0.45">
      <c r="A53" s="102"/>
      <c r="B53" s="235" t="s">
        <v>24</v>
      </c>
      <c r="C53" s="236"/>
      <c r="D53" s="236"/>
      <c r="E53" s="236"/>
      <c r="F53" s="236"/>
      <c r="G53" s="236"/>
      <c r="H53" s="236"/>
      <c r="I53" s="236"/>
      <c r="J53" s="236"/>
      <c r="K53" s="236"/>
      <c r="L53" s="236"/>
      <c r="M53" s="237"/>
      <c r="N53" s="104"/>
    </row>
    <row r="54" spans="1:20" ht="35.450000000000003" customHeight="1" thickBot="1" x14ac:dyDescent="0.45">
      <c r="A54" s="102"/>
      <c r="B54" s="238" t="s">
        <v>6</v>
      </c>
      <c r="C54" s="240" t="s">
        <v>25</v>
      </c>
      <c r="D54" s="242"/>
      <c r="E54" s="243"/>
      <c r="F54" s="244" t="s">
        <v>87</v>
      </c>
      <c r="G54" s="246" t="s">
        <v>26</v>
      </c>
      <c r="H54" s="242" t="s">
        <v>27</v>
      </c>
      <c r="I54" s="243"/>
      <c r="J54" s="248"/>
      <c r="K54" s="246" t="s">
        <v>28</v>
      </c>
      <c r="L54" s="246" t="s">
        <v>29</v>
      </c>
      <c r="M54" s="249" t="s">
        <v>69</v>
      </c>
      <c r="N54" s="104"/>
      <c r="S54" s="1" t="s">
        <v>16</v>
      </c>
      <c r="T54" s="1" t="s">
        <v>42</v>
      </c>
    </row>
    <row r="55" spans="1:20" ht="35.450000000000003" customHeight="1" thickBot="1" x14ac:dyDescent="0.45">
      <c r="A55" s="102"/>
      <c r="B55" s="239"/>
      <c r="C55" s="241"/>
      <c r="D55" s="200" t="s">
        <v>85</v>
      </c>
      <c r="E55" s="200" t="s">
        <v>86</v>
      </c>
      <c r="F55" s="245"/>
      <c r="G55" s="247"/>
      <c r="H55" s="200" t="s">
        <v>30</v>
      </c>
      <c r="I55" s="200" t="s">
        <v>31</v>
      </c>
      <c r="J55" s="200" t="s">
        <v>32</v>
      </c>
      <c r="K55" s="247"/>
      <c r="L55" s="247"/>
      <c r="M55" s="250"/>
      <c r="N55" s="140"/>
      <c r="P55" s="141" t="s">
        <v>71</v>
      </c>
      <c r="S55" s="1" t="s">
        <v>10</v>
      </c>
      <c r="T55" s="1" t="s">
        <v>39</v>
      </c>
    </row>
    <row r="56" spans="1:20" ht="35.450000000000003" customHeight="1" x14ac:dyDescent="0.4">
      <c r="A56" s="102"/>
      <c r="B56" s="36"/>
      <c r="C56" s="32"/>
      <c r="D56" s="73"/>
      <c r="E56" s="75"/>
      <c r="F56" s="30">
        <f t="shared" ref="F56:F63" si="10">IF(B56="携帯トイレ",0,IF(B56="仮設トイレ",D56*$H$34/(700*($C$14+1-$F$34)),IF(B56="マンホールトイレ",D56*$H$35/(500*($C$14+1-$F$35)),IF(B56="トイレカー",D56*$H$36/(60*($C$14+1-$F$36)),IF(B56="簡易トイレ（本体）",E56,0)))))</f>
        <v>0</v>
      </c>
      <c r="G56" s="43"/>
      <c r="H56" s="43"/>
      <c r="I56" s="33"/>
      <c r="J56" s="43"/>
      <c r="K56" s="42"/>
      <c r="L56" s="41"/>
      <c r="M56" s="44"/>
      <c r="N56" s="140"/>
      <c r="P56" s="140">
        <f>IF(B56="簡易トイレ（本体）",1,IF(B56="",1,0))</f>
        <v>1</v>
      </c>
      <c r="S56" s="1" t="s">
        <v>12</v>
      </c>
      <c r="T56" s="1" t="s">
        <v>56</v>
      </c>
    </row>
    <row r="57" spans="1:20" ht="35.450000000000003" customHeight="1" x14ac:dyDescent="0.4">
      <c r="A57" s="102"/>
      <c r="B57" s="36"/>
      <c r="C57" s="32"/>
      <c r="D57" s="73"/>
      <c r="E57" s="75"/>
      <c r="F57" s="30">
        <f t="shared" si="10"/>
        <v>0</v>
      </c>
      <c r="G57" s="43"/>
      <c r="H57" s="43"/>
      <c r="I57" s="33"/>
      <c r="J57" s="43"/>
      <c r="K57" s="41"/>
      <c r="L57" s="41"/>
      <c r="M57" s="44"/>
      <c r="N57" s="140"/>
      <c r="P57" s="140">
        <f t="shared" ref="P57:P63" si="11">IF(B57="簡易トイレ（本体）",1,IF(B57="",1,0))</f>
        <v>1</v>
      </c>
      <c r="S57" s="1" t="s">
        <v>22</v>
      </c>
      <c r="T57" s="1" t="s">
        <v>57</v>
      </c>
    </row>
    <row r="58" spans="1:20" ht="35.450000000000003" customHeight="1" x14ac:dyDescent="0.4">
      <c r="A58" s="102"/>
      <c r="B58" s="35"/>
      <c r="C58" s="31"/>
      <c r="D58" s="74"/>
      <c r="E58" s="76"/>
      <c r="F58" s="37">
        <f t="shared" si="10"/>
        <v>0</v>
      </c>
      <c r="G58" s="33"/>
      <c r="H58" s="33"/>
      <c r="I58" s="33"/>
      <c r="J58" s="33"/>
      <c r="K58" s="42"/>
      <c r="L58" s="42"/>
      <c r="M58" s="45"/>
      <c r="N58" s="140"/>
      <c r="P58" s="140">
        <f t="shared" si="11"/>
        <v>1</v>
      </c>
      <c r="S58" s="1" t="s">
        <v>23</v>
      </c>
      <c r="T58" s="1" t="s">
        <v>60</v>
      </c>
    </row>
    <row r="59" spans="1:20" ht="35.450000000000003" customHeight="1" x14ac:dyDescent="0.4">
      <c r="A59" s="102"/>
      <c r="B59" s="35"/>
      <c r="C59" s="31"/>
      <c r="D59" s="74"/>
      <c r="E59" s="76"/>
      <c r="F59" s="25">
        <f t="shared" si="10"/>
        <v>0</v>
      </c>
      <c r="G59" s="33"/>
      <c r="H59" s="33"/>
      <c r="I59" s="33"/>
      <c r="J59" s="33"/>
      <c r="K59" s="42"/>
      <c r="L59" s="42"/>
      <c r="M59" s="45"/>
      <c r="N59" s="140"/>
      <c r="P59" s="140">
        <f t="shared" si="11"/>
        <v>1</v>
      </c>
      <c r="S59" s="1" t="s">
        <v>15</v>
      </c>
    </row>
    <row r="60" spans="1:20" ht="35.450000000000003" customHeight="1" x14ac:dyDescent="0.4">
      <c r="A60" s="102"/>
      <c r="B60" s="35"/>
      <c r="C60" s="31"/>
      <c r="D60" s="74"/>
      <c r="E60" s="76"/>
      <c r="F60" s="25">
        <f t="shared" si="10"/>
        <v>0</v>
      </c>
      <c r="G60" s="33"/>
      <c r="H60" s="33"/>
      <c r="I60" s="33"/>
      <c r="J60" s="33"/>
      <c r="K60" s="42"/>
      <c r="L60" s="42"/>
      <c r="M60" s="45"/>
      <c r="N60" s="140"/>
      <c r="P60" s="140">
        <f t="shared" si="11"/>
        <v>1</v>
      </c>
    </row>
    <row r="61" spans="1:20" ht="35.450000000000003" customHeight="1" x14ac:dyDescent="0.4">
      <c r="A61" s="102"/>
      <c r="B61" s="35"/>
      <c r="C61" s="31"/>
      <c r="D61" s="74"/>
      <c r="E61" s="76"/>
      <c r="F61" s="25">
        <f t="shared" si="10"/>
        <v>0</v>
      </c>
      <c r="G61" s="33"/>
      <c r="H61" s="33"/>
      <c r="I61" s="33"/>
      <c r="J61" s="33"/>
      <c r="K61" s="42"/>
      <c r="L61" s="42"/>
      <c r="M61" s="45"/>
      <c r="N61" s="140"/>
      <c r="P61" s="140">
        <f t="shared" si="11"/>
        <v>1</v>
      </c>
    </row>
    <row r="62" spans="1:20" ht="35.450000000000003" customHeight="1" x14ac:dyDescent="0.4">
      <c r="A62" s="102"/>
      <c r="B62" s="36"/>
      <c r="C62" s="32"/>
      <c r="D62" s="73"/>
      <c r="E62" s="75"/>
      <c r="F62" s="30">
        <f t="shared" si="10"/>
        <v>0</v>
      </c>
      <c r="G62" s="43"/>
      <c r="H62" s="43"/>
      <c r="I62" s="43"/>
      <c r="J62" s="43"/>
      <c r="K62" s="42"/>
      <c r="L62" s="41"/>
      <c r="M62" s="44"/>
      <c r="N62" s="140"/>
      <c r="P62" s="140">
        <f t="shared" si="11"/>
        <v>1</v>
      </c>
    </row>
    <row r="63" spans="1:20" ht="35.450000000000003" customHeight="1" thickBot="1" x14ac:dyDescent="0.45">
      <c r="A63" s="102"/>
      <c r="B63" s="36"/>
      <c r="C63" s="32"/>
      <c r="D63" s="73"/>
      <c r="E63" s="75"/>
      <c r="F63" s="26">
        <f t="shared" si="10"/>
        <v>0</v>
      </c>
      <c r="G63" s="43"/>
      <c r="H63" s="43"/>
      <c r="I63" s="43"/>
      <c r="J63" s="43"/>
      <c r="K63" s="42"/>
      <c r="L63" s="41"/>
      <c r="M63" s="44"/>
      <c r="N63" s="140"/>
      <c r="P63" s="142">
        <f t="shared" si="11"/>
        <v>1</v>
      </c>
    </row>
    <row r="64" spans="1:20" ht="35.450000000000003" customHeight="1" thickBot="1" x14ac:dyDescent="0.45">
      <c r="A64" s="102"/>
      <c r="B64" s="15" t="s">
        <v>17</v>
      </c>
      <c r="C64" s="197" t="s">
        <v>47</v>
      </c>
      <c r="D64" s="39">
        <f>SUM(D56:D63)</f>
        <v>0</v>
      </c>
      <c r="E64" s="40">
        <f>SUM(E56:E63)</f>
        <v>0</v>
      </c>
      <c r="F64" s="40">
        <f>SUM(F56:F63)</f>
        <v>0</v>
      </c>
      <c r="G64" s="38" t="s">
        <v>47</v>
      </c>
      <c r="H64" s="38" t="s">
        <v>47</v>
      </c>
      <c r="I64" s="38" t="s">
        <v>47</v>
      </c>
      <c r="J64" s="38" t="s">
        <v>47</v>
      </c>
      <c r="K64" s="38" t="s">
        <v>47</v>
      </c>
      <c r="L64" s="38" t="s">
        <v>47</v>
      </c>
      <c r="M64" s="38" t="s">
        <v>47</v>
      </c>
      <c r="N64" s="104"/>
    </row>
    <row r="65" spans="1:14" ht="34.5" customHeight="1" thickBot="1" x14ac:dyDescent="0.45">
      <c r="A65" s="102"/>
      <c r="B65" s="46"/>
      <c r="C65" s="47"/>
      <c r="D65" s="48"/>
      <c r="E65" s="49"/>
      <c r="F65" s="49"/>
      <c r="G65" s="50"/>
      <c r="H65" s="50"/>
      <c r="I65" s="50"/>
      <c r="J65" s="50"/>
      <c r="K65" s="50"/>
      <c r="L65" s="50"/>
      <c r="M65" s="50"/>
      <c r="N65" s="104"/>
    </row>
    <row r="66" spans="1:14" ht="37.5" customHeight="1" thickBot="1" x14ac:dyDescent="0.45">
      <c r="A66" s="102"/>
      <c r="B66" s="226" t="s">
        <v>48</v>
      </c>
      <c r="C66" s="227"/>
      <c r="D66" s="227"/>
      <c r="E66" s="227"/>
      <c r="F66" s="227"/>
      <c r="G66" s="227"/>
      <c r="H66" s="228"/>
      <c r="I66" s="27"/>
      <c r="J66" s="109"/>
      <c r="K66" s="229"/>
      <c r="L66" s="229"/>
      <c r="M66" s="229"/>
      <c r="N66" s="104"/>
    </row>
    <row r="67" spans="1:14" s="13" customFormat="1" ht="37.5" customHeight="1" thickBot="1" x14ac:dyDescent="0.45">
      <c r="A67" s="123"/>
      <c r="B67" s="19"/>
      <c r="C67" s="197" t="s">
        <v>49</v>
      </c>
      <c r="D67" s="22" t="s">
        <v>94</v>
      </c>
      <c r="E67" s="23" t="s">
        <v>50</v>
      </c>
      <c r="F67" s="22" t="s">
        <v>95</v>
      </c>
      <c r="G67" s="22" t="s">
        <v>96</v>
      </c>
      <c r="H67" s="24" t="s">
        <v>52</v>
      </c>
      <c r="I67" s="28"/>
      <c r="J67" s="124"/>
      <c r="K67" s="77"/>
      <c r="L67" s="78"/>
      <c r="M67" s="77"/>
      <c r="N67" s="125"/>
    </row>
    <row r="68" spans="1:14" customFormat="1" ht="37.5" customHeight="1" x14ac:dyDescent="0.4">
      <c r="A68" s="108"/>
      <c r="B68" s="20" t="s">
        <v>53</v>
      </c>
      <c r="C68" s="134">
        <f>C15/50</f>
        <v>0</v>
      </c>
      <c r="D68" s="230">
        <f>SUM(C20+C22+C23+C24)</f>
        <v>0</v>
      </c>
      <c r="E68" s="135" t="str">
        <f>IF(D68&gt;C68,"〇","×")</f>
        <v>×</v>
      </c>
      <c r="F68" s="230">
        <f>F64</f>
        <v>0</v>
      </c>
      <c r="G68" s="230">
        <f>D68+F68</f>
        <v>0</v>
      </c>
      <c r="H68" s="136" t="str">
        <f>IF(G68&gt;C68,"〇","×")</f>
        <v>×</v>
      </c>
      <c r="I68" s="29"/>
      <c r="J68" s="126"/>
      <c r="K68" s="77"/>
      <c r="L68" s="79"/>
      <c r="M68" s="77"/>
      <c r="N68" s="107"/>
    </row>
    <row r="69" spans="1:14" customFormat="1" ht="37.5" customHeight="1" thickBot="1" x14ac:dyDescent="0.45">
      <c r="A69" s="108"/>
      <c r="B69" s="21" t="s">
        <v>54</v>
      </c>
      <c r="C69" s="137">
        <f>C15/20</f>
        <v>0</v>
      </c>
      <c r="D69" s="231"/>
      <c r="E69" s="138" t="str">
        <f>IF(D68&gt;C69,"○","×")</f>
        <v>×</v>
      </c>
      <c r="F69" s="231"/>
      <c r="G69" s="231"/>
      <c r="H69" s="139" t="str">
        <f>IF(G68&gt;C69,"〇","×")</f>
        <v>×</v>
      </c>
      <c r="I69" s="29"/>
      <c r="J69" s="126"/>
      <c r="K69" s="126"/>
      <c r="L69" s="126"/>
      <c r="M69" s="126"/>
      <c r="N69" s="107"/>
    </row>
    <row r="70" spans="1:14" customFormat="1" ht="37.5" customHeight="1" thickBot="1" x14ac:dyDescent="0.45">
      <c r="A70" s="127"/>
      <c r="B70" s="128"/>
      <c r="C70" s="128"/>
      <c r="D70" s="128"/>
      <c r="E70" s="128"/>
      <c r="F70" s="128"/>
      <c r="G70" s="128"/>
      <c r="H70" s="128"/>
      <c r="I70" s="128"/>
      <c r="J70" s="129"/>
      <c r="K70" s="129"/>
      <c r="L70" s="129"/>
      <c r="M70" s="129"/>
      <c r="N70" s="130"/>
    </row>
  </sheetData>
  <mergeCells count="53">
    <mergeCell ref="T10:X11"/>
    <mergeCell ref="A11:N11"/>
    <mergeCell ref="D2:L3"/>
    <mergeCell ref="A5:F5"/>
    <mergeCell ref="H5:N5"/>
    <mergeCell ref="A6:F9"/>
    <mergeCell ref="H6:N9"/>
    <mergeCell ref="B13:D13"/>
    <mergeCell ref="L13:M13"/>
    <mergeCell ref="B17:J17"/>
    <mergeCell ref="L17:M17"/>
    <mergeCell ref="C18:D18"/>
    <mergeCell ref="F18:G18"/>
    <mergeCell ref="H18:I18"/>
    <mergeCell ref="C33:E33"/>
    <mergeCell ref="H33:I33"/>
    <mergeCell ref="C25:D25"/>
    <mergeCell ref="F25:G25"/>
    <mergeCell ref="H25:I25"/>
    <mergeCell ref="C26:D26"/>
    <mergeCell ref="A28:N28"/>
    <mergeCell ref="B30:K30"/>
    <mergeCell ref="C31:D31"/>
    <mergeCell ref="F31:G31"/>
    <mergeCell ref="H31:I31"/>
    <mergeCell ref="C32:E32"/>
    <mergeCell ref="H32:I32"/>
    <mergeCell ref="J34:J36"/>
    <mergeCell ref="B41:I41"/>
    <mergeCell ref="L41:M41"/>
    <mergeCell ref="B42:B43"/>
    <mergeCell ref="C42:C43"/>
    <mergeCell ref="D42:F42"/>
    <mergeCell ref="G42:G43"/>
    <mergeCell ref="I42:I43"/>
    <mergeCell ref="H42:H43"/>
    <mergeCell ref="L44:M44"/>
    <mergeCell ref="L47:M47"/>
    <mergeCell ref="B53:M53"/>
    <mergeCell ref="B54:B55"/>
    <mergeCell ref="C54:C55"/>
    <mergeCell ref="D54:E54"/>
    <mergeCell ref="F54:F55"/>
    <mergeCell ref="G54:G55"/>
    <mergeCell ref="H54:J54"/>
    <mergeCell ref="K54:K55"/>
    <mergeCell ref="L54:L55"/>
    <mergeCell ref="M54:M55"/>
    <mergeCell ref="B66:H66"/>
    <mergeCell ref="K66:M66"/>
    <mergeCell ref="D68:D69"/>
    <mergeCell ref="F68:F69"/>
    <mergeCell ref="G68:G69"/>
  </mergeCells>
  <phoneticPr fontId="2"/>
  <conditionalFormatting sqref="D56">
    <cfRule type="expression" dxfId="31" priority="3">
      <formula>$B$56="簡易トイレ（本体）"</formula>
    </cfRule>
  </conditionalFormatting>
  <conditionalFormatting sqref="D57">
    <cfRule type="expression" dxfId="30" priority="8">
      <formula>$B$57="簡易トイレ（本体）"</formula>
    </cfRule>
  </conditionalFormatting>
  <conditionalFormatting sqref="D58">
    <cfRule type="expression" dxfId="29" priority="7">
      <formula>$B$58="簡易トイレ（本体）"</formula>
    </cfRule>
  </conditionalFormatting>
  <conditionalFormatting sqref="D59">
    <cfRule type="expression" dxfId="28" priority="6">
      <formula>$B$59="簡易トイレ（本体）"</formula>
    </cfRule>
  </conditionalFormatting>
  <conditionalFormatting sqref="D60">
    <cfRule type="expression" dxfId="27" priority="5">
      <formula>$B$60="簡易トイレ（本体）"</formula>
    </cfRule>
  </conditionalFormatting>
  <conditionalFormatting sqref="D61">
    <cfRule type="expression" dxfId="26" priority="4">
      <formula>$B$61="簡易トイレ（本体）"</formula>
    </cfRule>
  </conditionalFormatting>
  <conditionalFormatting sqref="D62">
    <cfRule type="expression" dxfId="25" priority="2">
      <formula>$B$62</formula>
    </cfRule>
  </conditionalFormatting>
  <conditionalFormatting sqref="D63">
    <cfRule type="expression" dxfId="24" priority="1">
      <formula>$B$63="簡易トイレ（本体）"</formula>
    </cfRule>
  </conditionalFormatting>
  <conditionalFormatting sqref="E56">
    <cfRule type="expression" dxfId="23" priority="14">
      <formula>$P$56=0</formula>
    </cfRule>
  </conditionalFormatting>
  <conditionalFormatting sqref="E57">
    <cfRule type="expression" dxfId="22" priority="9">
      <formula>$P$57=0</formula>
    </cfRule>
  </conditionalFormatting>
  <conditionalFormatting sqref="E58">
    <cfRule type="expression" dxfId="21" priority="10">
      <formula>$P$58=0</formula>
    </cfRule>
  </conditionalFormatting>
  <conditionalFormatting sqref="E59">
    <cfRule type="expression" dxfId="20" priority="11">
      <formula>$P$59=0</formula>
    </cfRule>
  </conditionalFormatting>
  <conditionalFormatting sqref="E60">
    <cfRule type="expression" dxfId="19" priority="12">
      <formula>$P$60=0</formula>
    </cfRule>
  </conditionalFormatting>
  <conditionalFormatting sqref="E61">
    <cfRule type="expression" dxfId="18" priority="13">
      <formula>$P$61=0</formula>
    </cfRule>
  </conditionalFormatting>
  <conditionalFormatting sqref="E62">
    <cfRule type="expression" dxfId="17" priority="15">
      <formula>$P$62=0</formula>
    </cfRule>
  </conditionalFormatting>
  <conditionalFormatting sqref="E63">
    <cfRule type="expression" dxfId="16" priority="16">
      <formula>$P$63=0</formula>
    </cfRule>
  </conditionalFormatting>
  <dataValidations count="2">
    <dataValidation type="list" allowBlank="1" showInputMessage="1" showErrorMessage="1" sqref="C56:C63" xr:uid="{6BE62A70-E299-4C98-8DE5-B91D91334786}">
      <formula1>$T$54:$T$60</formula1>
    </dataValidation>
    <dataValidation type="list" allowBlank="1" showInputMessage="1" showErrorMessage="1" sqref="B56:B63" xr:uid="{8E1D0ADB-69E3-4468-8CC7-061016284DA7}">
      <formula1>$S$54:$S$59</formula1>
    </dataValidation>
  </dataValidations>
  <printOptions horizontalCentered="1" verticalCentered="1"/>
  <pageMargins left="0.31496062992125984" right="0.31496062992125984" top="0.35433070866141736" bottom="0.35433070866141736" header="0" footer="0"/>
  <pageSetup paperSize="8" scale="4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9C941-F6A3-405A-AC8E-2CB2EB545C4A}">
  <sheetPr>
    <tabColor rgb="FFFFFF00"/>
  </sheetPr>
  <dimension ref="A1:X70"/>
  <sheetViews>
    <sheetView view="pageBreakPreview" zoomScale="25" zoomScaleNormal="85" zoomScaleSheetLayoutView="25" workbookViewId="0">
      <selection activeCell="AC13" sqref="AC13"/>
    </sheetView>
  </sheetViews>
  <sheetFormatPr defaultColWidth="9" defaultRowHeight="37.5" customHeight="1" x14ac:dyDescent="0.4"/>
  <cols>
    <col min="1" max="1" width="9" style="1"/>
    <col min="2" max="2" width="22.625" style="1" customWidth="1"/>
    <col min="3" max="13" width="20.375" style="1" customWidth="1"/>
    <col min="14" max="16" width="9" style="1"/>
    <col min="17" max="17" width="22.75" style="1" customWidth="1"/>
    <col min="18" max="19" width="10.75" style="1" bestFit="1" customWidth="1"/>
    <col min="20" max="20" width="12.625" style="1" customWidth="1"/>
    <col min="21" max="24" width="10.75" style="1" bestFit="1" customWidth="1"/>
    <col min="25" max="16384" width="9" style="1"/>
  </cols>
  <sheetData>
    <row r="1" spans="1:24" ht="37.5" customHeight="1" thickBot="1" x14ac:dyDescent="0.45"/>
    <row r="2" spans="1:24" ht="37.5" customHeight="1" thickBot="1" x14ac:dyDescent="0.45">
      <c r="B2" s="178" t="s">
        <v>1</v>
      </c>
      <c r="C2" s="177"/>
      <c r="D2" s="296" t="s">
        <v>124</v>
      </c>
      <c r="E2" s="296"/>
      <c r="F2" s="296"/>
      <c r="G2" s="296"/>
      <c r="H2" s="296"/>
      <c r="I2" s="296"/>
      <c r="J2" s="296"/>
      <c r="K2" s="296"/>
      <c r="L2" s="296"/>
    </row>
    <row r="3" spans="1:24" ht="35.25" customHeight="1" thickBot="1" x14ac:dyDescent="0.45">
      <c r="A3" s="176"/>
      <c r="B3" s="179" t="s">
        <v>111</v>
      </c>
      <c r="C3" s="176"/>
      <c r="D3" s="296"/>
      <c r="E3" s="296"/>
      <c r="F3" s="296"/>
      <c r="G3" s="296"/>
      <c r="H3" s="296"/>
      <c r="I3" s="296"/>
      <c r="J3" s="296"/>
      <c r="K3" s="296"/>
      <c r="L3" s="296"/>
      <c r="M3" s="176"/>
      <c r="N3" s="176"/>
    </row>
    <row r="4" spans="1:24" ht="20.25" customHeight="1" thickBot="1" x14ac:dyDescent="0.45">
      <c r="B4" s="145"/>
      <c r="C4" s="145"/>
      <c r="D4" s="145"/>
      <c r="E4" s="145"/>
      <c r="F4" s="145"/>
      <c r="G4" s="145"/>
    </row>
    <row r="5" spans="1:24" s="132" customFormat="1" ht="47.25" customHeight="1" thickBot="1" x14ac:dyDescent="0.45">
      <c r="A5" s="272" t="s">
        <v>0</v>
      </c>
      <c r="B5" s="273"/>
      <c r="C5" s="273"/>
      <c r="D5" s="273"/>
      <c r="E5" s="273"/>
      <c r="F5" s="274"/>
      <c r="G5" s="131"/>
      <c r="H5" s="272" t="s">
        <v>72</v>
      </c>
      <c r="I5" s="273"/>
      <c r="J5" s="273"/>
      <c r="K5" s="273"/>
      <c r="L5" s="273"/>
      <c r="M5" s="273"/>
      <c r="N5" s="274"/>
    </row>
    <row r="6" spans="1:24" s="11" customFormat="1" ht="36" customHeight="1" x14ac:dyDescent="0.4">
      <c r="A6" s="297" t="s">
        <v>125</v>
      </c>
      <c r="B6" s="298"/>
      <c r="C6" s="298"/>
      <c r="D6" s="298"/>
      <c r="E6" s="298"/>
      <c r="F6" s="299"/>
      <c r="G6" s="52"/>
      <c r="H6" s="297" t="s">
        <v>126</v>
      </c>
      <c r="I6" s="298"/>
      <c r="J6" s="298"/>
      <c r="K6" s="298"/>
      <c r="L6" s="298"/>
      <c r="M6" s="298"/>
      <c r="N6" s="299"/>
    </row>
    <row r="7" spans="1:24" s="11" customFormat="1" ht="36" customHeight="1" x14ac:dyDescent="0.4">
      <c r="A7" s="297"/>
      <c r="B7" s="298"/>
      <c r="C7" s="298"/>
      <c r="D7" s="298"/>
      <c r="E7" s="298"/>
      <c r="F7" s="299"/>
      <c r="G7" s="52"/>
      <c r="H7" s="297"/>
      <c r="I7" s="298"/>
      <c r="J7" s="298"/>
      <c r="K7" s="298"/>
      <c r="L7" s="298"/>
      <c r="M7" s="298"/>
      <c r="N7" s="299"/>
    </row>
    <row r="8" spans="1:24" s="11" customFormat="1" ht="36" customHeight="1" x14ac:dyDescent="0.4">
      <c r="A8" s="297"/>
      <c r="B8" s="298"/>
      <c r="C8" s="298"/>
      <c r="D8" s="298"/>
      <c r="E8" s="298"/>
      <c r="F8" s="299"/>
      <c r="G8" s="52"/>
      <c r="H8" s="297"/>
      <c r="I8" s="298"/>
      <c r="J8" s="298"/>
      <c r="K8" s="298"/>
      <c r="L8" s="298"/>
      <c r="M8" s="298"/>
      <c r="N8" s="299"/>
    </row>
    <row r="9" spans="1:24" s="11" customFormat="1" ht="93.75" customHeight="1" thickBot="1" x14ac:dyDescent="0.45">
      <c r="A9" s="300"/>
      <c r="B9" s="301"/>
      <c r="C9" s="301"/>
      <c r="D9" s="301"/>
      <c r="E9" s="301"/>
      <c r="F9" s="302"/>
      <c r="G9" s="52"/>
      <c r="H9" s="300"/>
      <c r="I9" s="301"/>
      <c r="J9" s="301"/>
      <c r="K9" s="301"/>
      <c r="L9" s="301"/>
      <c r="M9" s="301"/>
      <c r="N9" s="302"/>
    </row>
    <row r="10" spans="1:24" ht="36" customHeight="1" thickBot="1" x14ac:dyDescent="0.45">
      <c r="B10" s="2"/>
      <c r="C10" s="3"/>
      <c r="D10" s="3"/>
      <c r="E10" s="3"/>
      <c r="F10" s="3"/>
      <c r="G10" s="3"/>
      <c r="H10" s="3"/>
      <c r="I10" s="3"/>
      <c r="J10" s="2"/>
      <c r="K10" s="2"/>
      <c r="L10" s="2"/>
      <c r="M10" s="2"/>
      <c r="T10" s="291" t="s">
        <v>114</v>
      </c>
      <c r="U10" s="291"/>
      <c r="V10" s="291"/>
      <c r="W10" s="291"/>
      <c r="X10" s="291"/>
    </row>
    <row r="11" spans="1:24" ht="47.25" customHeight="1" thickBot="1" x14ac:dyDescent="0.45">
      <c r="A11" s="293" t="s">
        <v>88</v>
      </c>
      <c r="B11" s="294"/>
      <c r="C11" s="294"/>
      <c r="D11" s="294"/>
      <c r="E11" s="294"/>
      <c r="F11" s="294"/>
      <c r="G11" s="294"/>
      <c r="H11" s="294"/>
      <c r="I11" s="294"/>
      <c r="J11" s="294"/>
      <c r="K11" s="294"/>
      <c r="L11" s="294"/>
      <c r="M11" s="294"/>
      <c r="N11" s="295"/>
      <c r="Q11" s="159" t="s">
        <v>112</v>
      </c>
      <c r="T11" s="292"/>
      <c r="U11" s="292"/>
      <c r="V11" s="292"/>
      <c r="W11" s="292"/>
      <c r="X11" s="292"/>
    </row>
    <row r="12" spans="1:24" ht="36" customHeight="1" thickBot="1" x14ac:dyDescent="0.45">
      <c r="A12" s="112"/>
      <c r="B12" s="103"/>
      <c r="C12" s="47"/>
      <c r="D12" s="47"/>
      <c r="E12" s="47"/>
      <c r="F12" s="47"/>
      <c r="G12" s="47"/>
      <c r="H12" s="47"/>
      <c r="I12" s="47"/>
      <c r="J12" s="103"/>
      <c r="K12" s="103"/>
      <c r="L12" s="103"/>
      <c r="M12" s="103"/>
      <c r="N12" s="113"/>
      <c r="Q12" s="172"/>
      <c r="R12" s="168" t="s">
        <v>100</v>
      </c>
      <c r="S12" s="166" t="s">
        <v>101</v>
      </c>
      <c r="T12" s="166" t="s">
        <v>102</v>
      </c>
      <c r="U12" s="166" t="s">
        <v>103</v>
      </c>
      <c r="V12" s="166" t="s">
        <v>104</v>
      </c>
      <c r="W12" s="166" t="s">
        <v>105</v>
      </c>
      <c r="X12" s="167" t="s">
        <v>106</v>
      </c>
    </row>
    <row r="13" spans="1:24" ht="42.75" customHeight="1" thickBot="1" x14ac:dyDescent="0.45">
      <c r="A13" s="112"/>
      <c r="B13" s="235" t="s">
        <v>2</v>
      </c>
      <c r="C13" s="236"/>
      <c r="D13" s="237"/>
      <c r="E13" s="47"/>
      <c r="F13" s="105"/>
      <c r="G13" s="103"/>
      <c r="H13" s="103"/>
      <c r="I13" s="103"/>
      <c r="J13" s="103"/>
      <c r="K13" s="103"/>
      <c r="L13" s="232" t="s">
        <v>89</v>
      </c>
      <c r="M13" s="233"/>
      <c r="N13" s="113"/>
      <c r="Q13" s="173" t="s">
        <v>97</v>
      </c>
      <c r="R13" s="169">
        <f>$C$15*5</f>
        <v>50000</v>
      </c>
      <c r="S13" s="164">
        <f>$C$15*5*2</f>
        <v>100000</v>
      </c>
      <c r="T13" s="164">
        <f>$C$15*5*3</f>
        <v>150000</v>
      </c>
      <c r="U13" s="164">
        <f>$C$15*5*4</f>
        <v>200000</v>
      </c>
      <c r="V13" s="164">
        <f>$C$15*5*5</f>
        <v>250000</v>
      </c>
      <c r="W13" s="164">
        <f>$C$15*5*6</f>
        <v>300000</v>
      </c>
      <c r="X13" s="165">
        <f>$C$15*5*7</f>
        <v>350000</v>
      </c>
    </row>
    <row r="14" spans="1:24" ht="36" customHeight="1" thickBot="1" x14ac:dyDescent="0.45">
      <c r="A14" s="112"/>
      <c r="B14" s="4" t="s">
        <v>3</v>
      </c>
      <c r="C14" s="5">
        <v>7</v>
      </c>
      <c r="D14" s="6" t="s">
        <v>4</v>
      </c>
      <c r="E14" s="103"/>
      <c r="F14" s="103"/>
      <c r="G14" s="103"/>
      <c r="H14" s="103"/>
      <c r="I14" s="103"/>
      <c r="J14" s="103"/>
      <c r="K14" s="103"/>
      <c r="L14" s="12">
        <f>C14*C15*5</f>
        <v>350000</v>
      </c>
      <c r="M14" s="7" t="s">
        <v>61</v>
      </c>
      <c r="N14" s="113"/>
      <c r="Q14" s="173" t="s">
        <v>98</v>
      </c>
      <c r="R14" s="170">
        <f t="shared" ref="R14:V14" si="0">SUM(R19:R24,R32:R36)</f>
        <v>196060</v>
      </c>
      <c r="S14" s="160">
        <f t="shared" si="0"/>
        <v>225620</v>
      </c>
      <c r="T14" s="160">
        <f t="shared" si="0"/>
        <v>266280</v>
      </c>
      <c r="U14" s="160">
        <f t="shared" si="0"/>
        <v>306940</v>
      </c>
      <c r="V14" s="160">
        <f t="shared" si="0"/>
        <v>347600</v>
      </c>
      <c r="W14" s="160">
        <f>SUM(W19:W24,W32:W36)</f>
        <v>388260</v>
      </c>
      <c r="X14" s="161">
        <f t="shared" ref="X14" si="1">SUM(X19:X24,X32:X36)</f>
        <v>428920</v>
      </c>
    </row>
    <row r="15" spans="1:24" ht="36" customHeight="1" thickBot="1" x14ac:dyDescent="0.45">
      <c r="A15" s="112"/>
      <c r="B15" s="196" t="s">
        <v>115</v>
      </c>
      <c r="C15" s="8">
        <v>10000</v>
      </c>
      <c r="D15" s="9" t="s">
        <v>5</v>
      </c>
      <c r="E15" s="103"/>
      <c r="F15" s="103"/>
      <c r="G15" s="103"/>
      <c r="H15" s="103"/>
      <c r="I15" s="103"/>
      <c r="J15" s="103"/>
      <c r="K15" s="103"/>
      <c r="L15" s="103"/>
      <c r="M15" s="106"/>
      <c r="N15" s="114"/>
      <c r="Q15" s="174" t="s">
        <v>99</v>
      </c>
      <c r="R15" s="171" t="str">
        <f>IF(R14&gt;R13,"〇","×")</f>
        <v>〇</v>
      </c>
      <c r="S15" s="162" t="str">
        <f t="shared" ref="S15:X15" si="2">IF(S14&gt;S13,"〇","×")</f>
        <v>〇</v>
      </c>
      <c r="T15" s="162" t="str">
        <f t="shared" si="2"/>
        <v>〇</v>
      </c>
      <c r="U15" s="162" t="str">
        <f t="shared" si="2"/>
        <v>〇</v>
      </c>
      <c r="V15" s="162" t="str">
        <f t="shared" si="2"/>
        <v>〇</v>
      </c>
      <c r="W15" s="162" t="str">
        <f t="shared" si="2"/>
        <v>〇</v>
      </c>
      <c r="X15" s="163" t="str">
        <f t="shared" si="2"/>
        <v>〇</v>
      </c>
    </row>
    <row r="16" spans="1:24" customFormat="1" ht="36" customHeight="1" thickBot="1" x14ac:dyDescent="0.45">
      <c r="A16" s="115"/>
      <c r="B16" s="106"/>
      <c r="C16" s="106"/>
      <c r="D16" s="106"/>
      <c r="E16" s="106"/>
      <c r="F16" s="106"/>
      <c r="G16" s="106"/>
      <c r="H16" s="106"/>
      <c r="I16" s="106"/>
      <c r="J16" s="106"/>
      <c r="K16" s="106"/>
      <c r="L16" s="106"/>
      <c r="M16" s="101"/>
      <c r="N16" s="113"/>
    </row>
    <row r="17" spans="1:24" ht="45.75" customHeight="1" thickBot="1" x14ac:dyDescent="0.45">
      <c r="A17" s="112"/>
      <c r="B17" s="232" t="s">
        <v>117</v>
      </c>
      <c r="C17" s="234"/>
      <c r="D17" s="234"/>
      <c r="E17" s="234"/>
      <c r="F17" s="234"/>
      <c r="G17" s="234"/>
      <c r="H17" s="234"/>
      <c r="I17" s="234"/>
      <c r="J17" s="233"/>
      <c r="K17" s="109"/>
      <c r="L17" s="232" t="s">
        <v>90</v>
      </c>
      <c r="M17" s="233"/>
      <c r="N17" s="113"/>
    </row>
    <row r="18" spans="1:24" ht="36" customHeight="1" thickBot="1" x14ac:dyDescent="0.45">
      <c r="A18" s="112"/>
      <c r="B18" s="94" t="s">
        <v>6</v>
      </c>
      <c r="C18" s="287" t="s">
        <v>55</v>
      </c>
      <c r="D18" s="288"/>
      <c r="E18" s="90" t="s">
        <v>73</v>
      </c>
      <c r="F18" s="289" t="s">
        <v>7</v>
      </c>
      <c r="G18" s="288"/>
      <c r="H18" s="289" t="s">
        <v>8</v>
      </c>
      <c r="I18" s="290"/>
      <c r="J18" s="87" t="s">
        <v>9</v>
      </c>
      <c r="K18" s="109"/>
      <c r="L18" s="12">
        <f>L14-J25</f>
        <v>146580</v>
      </c>
      <c r="M18" s="7" t="s">
        <v>61</v>
      </c>
      <c r="N18" s="113"/>
      <c r="Q18" s="202" t="s">
        <v>110</v>
      </c>
      <c r="R18" s="1" t="s">
        <v>100</v>
      </c>
      <c r="S18" s="1" t="s">
        <v>101</v>
      </c>
      <c r="T18" s="1" t="s">
        <v>107</v>
      </c>
      <c r="U18" s="1" t="s">
        <v>103</v>
      </c>
      <c r="V18" s="1" t="s">
        <v>104</v>
      </c>
      <c r="W18" s="1" t="s">
        <v>105</v>
      </c>
      <c r="X18" s="1" t="s">
        <v>106</v>
      </c>
    </row>
    <row r="19" spans="1:24" ht="36" customHeight="1" x14ac:dyDescent="0.4">
      <c r="A19" s="112"/>
      <c r="B19" s="181" t="s">
        <v>16</v>
      </c>
      <c r="C19" s="182">
        <v>36500</v>
      </c>
      <c r="D19" s="183" t="s">
        <v>81</v>
      </c>
      <c r="E19" s="184" t="s">
        <v>11</v>
      </c>
      <c r="F19" s="185">
        <v>1</v>
      </c>
      <c r="G19" s="183" t="s">
        <v>74</v>
      </c>
      <c r="H19" s="186" t="s">
        <v>11</v>
      </c>
      <c r="I19" s="187" t="s">
        <v>75</v>
      </c>
      <c r="J19" s="188">
        <f>C19</f>
        <v>36500</v>
      </c>
      <c r="K19" s="103"/>
      <c r="L19" s="103"/>
      <c r="M19" s="103"/>
      <c r="N19" s="113"/>
      <c r="Q19" s="158" t="s">
        <v>16</v>
      </c>
      <c r="R19" s="1">
        <f>IF($F19&lt;=1,$J19,0)</f>
        <v>36500</v>
      </c>
      <c r="S19" s="1">
        <f>IF($F19&lt;=2,$J19,0)</f>
        <v>36500</v>
      </c>
      <c r="T19" s="1">
        <f>IF($F19&lt;=3,$J19,0)</f>
        <v>36500</v>
      </c>
      <c r="U19" s="1">
        <f>IF($F19&lt;=4,$J19,0)</f>
        <v>36500</v>
      </c>
      <c r="V19" s="1">
        <f>IF($F19&lt;=5,$J19,0)</f>
        <v>36500</v>
      </c>
      <c r="W19" s="1">
        <f>IF($F19&lt;=6,$J19,0)</f>
        <v>36500</v>
      </c>
      <c r="X19" s="1">
        <f>IF($F19&lt;=7,$J19,0)</f>
        <v>36500</v>
      </c>
    </row>
    <row r="20" spans="1:24" ht="36" customHeight="1" x14ac:dyDescent="0.4">
      <c r="A20" s="112"/>
      <c r="B20" s="93" t="s">
        <v>10</v>
      </c>
      <c r="C20" s="91">
        <v>200</v>
      </c>
      <c r="D20" s="84" t="s">
        <v>80</v>
      </c>
      <c r="E20" s="95" t="s">
        <v>11</v>
      </c>
      <c r="F20" s="88">
        <v>1</v>
      </c>
      <c r="G20" s="84" t="s">
        <v>74</v>
      </c>
      <c r="H20" s="97" t="s">
        <v>11</v>
      </c>
      <c r="I20" s="85" t="s">
        <v>75</v>
      </c>
      <c r="J20" s="86" t="s">
        <v>11</v>
      </c>
      <c r="K20" s="103"/>
      <c r="L20" s="103"/>
      <c r="M20" s="103"/>
      <c r="N20" s="113"/>
    </row>
    <row r="21" spans="1:24" ht="36" customHeight="1" x14ac:dyDescent="0.4">
      <c r="A21" s="112"/>
      <c r="B21" s="16" t="s">
        <v>12</v>
      </c>
      <c r="C21" s="92">
        <v>30000</v>
      </c>
      <c r="D21" s="53" t="s">
        <v>81</v>
      </c>
      <c r="E21" s="96" t="s">
        <v>11</v>
      </c>
      <c r="F21" s="74">
        <v>1</v>
      </c>
      <c r="G21" s="53" t="s">
        <v>74</v>
      </c>
      <c r="H21" s="98" t="s">
        <v>11</v>
      </c>
      <c r="I21" s="55" t="s">
        <v>75</v>
      </c>
      <c r="J21" s="99">
        <f>C21</f>
        <v>30000</v>
      </c>
      <c r="K21" s="103"/>
      <c r="L21" s="103"/>
      <c r="M21" s="103"/>
      <c r="N21" s="113"/>
      <c r="Q21" s="158" t="s">
        <v>12</v>
      </c>
      <c r="R21" s="1">
        <f>IF($F21&lt;=1,$J21,0)</f>
        <v>30000</v>
      </c>
      <c r="S21" s="1">
        <f>IF($F21&lt;=2,$J21,0)</f>
        <v>30000</v>
      </c>
      <c r="T21" s="1">
        <f>IF($F21&lt;=3,$J21,0)</f>
        <v>30000</v>
      </c>
      <c r="U21" s="1">
        <f>IF($F21&lt;=4,$J21,0)</f>
        <v>30000</v>
      </c>
      <c r="V21" s="1">
        <f>IF($F21&lt;=5,$J21,0)</f>
        <v>30000</v>
      </c>
      <c r="W21" s="1">
        <f>IF($F21&lt;=6,$J21,0)</f>
        <v>30000</v>
      </c>
      <c r="X21" s="1">
        <f>IF($F21&lt;=7,$J21,0)</f>
        <v>30000</v>
      </c>
    </row>
    <row r="22" spans="1:24" ht="36" customHeight="1" x14ac:dyDescent="0.4">
      <c r="A22" s="112"/>
      <c r="B22" s="16" t="s">
        <v>13</v>
      </c>
      <c r="C22" s="92">
        <v>20</v>
      </c>
      <c r="D22" s="81" t="s">
        <v>80</v>
      </c>
      <c r="E22" s="70">
        <v>350</v>
      </c>
      <c r="F22" s="74">
        <v>1</v>
      </c>
      <c r="G22" s="81" t="s">
        <v>74</v>
      </c>
      <c r="H22" s="89">
        <v>2</v>
      </c>
      <c r="I22" s="82" t="s">
        <v>75</v>
      </c>
      <c r="J22" s="99">
        <f>IF(H22&lt;0.00001,0,($C$14+1-F22)/H22*C22*E22/0.5)</f>
        <v>49000</v>
      </c>
      <c r="K22" s="103"/>
      <c r="L22" s="103"/>
      <c r="M22" s="103"/>
      <c r="N22" s="113"/>
      <c r="Q22" s="158" t="s">
        <v>108</v>
      </c>
      <c r="R22" s="1">
        <f>IF($F22&lt;=1,$J22,0)*1/$C$14</f>
        <v>7000</v>
      </c>
      <c r="S22" s="1">
        <f>IF($F22&lt;=2,$J22,0)*2/$C$14</f>
        <v>14000</v>
      </c>
      <c r="T22" s="1">
        <f>IF($F22&lt;=3,$J22,0)*3/$C$14</f>
        <v>21000</v>
      </c>
      <c r="U22" s="1">
        <f>IF($F22&lt;=4,$J22,0)*4/$C$14</f>
        <v>28000</v>
      </c>
      <c r="V22" s="1">
        <f>IF($F22&lt;=5,$J22,0)*5/$C$14</f>
        <v>35000</v>
      </c>
      <c r="W22" s="1">
        <f>IF($F22&lt;=6,$J22,0)*6/$C$14</f>
        <v>42000</v>
      </c>
      <c r="X22" s="1">
        <f>IF($F22&lt;=7,$J22,0)*7/$C$14</f>
        <v>49000</v>
      </c>
    </row>
    <row r="23" spans="1:24" ht="36" customHeight="1" x14ac:dyDescent="0.4">
      <c r="A23" s="112"/>
      <c r="B23" s="16" t="s">
        <v>14</v>
      </c>
      <c r="C23" s="92">
        <v>50</v>
      </c>
      <c r="D23" s="53" t="s">
        <v>80</v>
      </c>
      <c r="E23" s="70">
        <v>250</v>
      </c>
      <c r="F23" s="74">
        <v>1</v>
      </c>
      <c r="G23" s="53" t="s">
        <v>74</v>
      </c>
      <c r="H23" s="56">
        <v>2</v>
      </c>
      <c r="I23" s="83" t="s">
        <v>75</v>
      </c>
      <c r="J23" s="99">
        <f>IF(H23&lt;0.00001,0,($C$14+1-F23)/H23*C23*E23/0.5)</f>
        <v>87500</v>
      </c>
      <c r="K23" s="103"/>
      <c r="L23" s="103"/>
      <c r="M23" s="103"/>
      <c r="N23" s="113"/>
      <c r="Q23" s="158" t="s">
        <v>84</v>
      </c>
      <c r="R23" s="1">
        <f>IF($F23&lt;=1,$J23,0)*1/$C$14</f>
        <v>12500</v>
      </c>
      <c r="S23" s="1">
        <f>IF($F23&lt;=2,$J23,0)*2/$C$14</f>
        <v>25000</v>
      </c>
      <c r="T23" s="1">
        <f>IF($F23&lt;=3,$J23,0)*3/$C$14</f>
        <v>37500</v>
      </c>
      <c r="U23" s="1">
        <f>IF($F23&lt;=4,$J23,0)*4/$C$14</f>
        <v>50000</v>
      </c>
      <c r="V23" s="1">
        <f>IF($F23&lt;=5,$J23,0)*5/$C$14</f>
        <v>62500</v>
      </c>
      <c r="W23" s="1">
        <f>IF($F23&lt;=6,$J23,0)*6/$C$14</f>
        <v>75000</v>
      </c>
      <c r="X23" s="1">
        <f>IF($F23&lt;=7,$J23,0)*7/$C$14</f>
        <v>87500</v>
      </c>
    </row>
    <row r="24" spans="1:24" ht="37.5" customHeight="1" thickBot="1" x14ac:dyDescent="0.45">
      <c r="A24" s="112"/>
      <c r="B24" s="14" t="s">
        <v>15</v>
      </c>
      <c r="C24" s="92">
        <v>1</v>
      </c>
      <c r="D24" s="53" t="s">
        <v>80</v>
      </c>
      <c r="E24" s="70">
        <v>300</v>
      </c>
      <c r="F24" s="74">
        <v>1</v>
      </c>
      <c r="G24" s="53" t="s">
        <v>74</v>
      </c>
      <c r="H24" s="56">
        <v>1</v>
      </c>
      <c r="I24" s="55" t="s">
        <v>75</v>
      </c>
      <c r="J24" s="99">
        <f>IF(H24&lt;0.00001,0,($C$14+1-F24)/H24*C24*E24/5)</f>
        <v>420</v>
      </c>
      <c r="K24" s="103"/>
      <c r="L24" s="103"/>
      <c r="M24" s="103"/>
      <c r="N24" s="113"/>
      <c r="Q24" s="158" t="s">
        <v>15</v>
      </c>
      <c r="R24" s="1">
        <f>IF($F24&lt;=1,$J24,0)*1/$C$14</f>
        <v>60</v>
      </c>
      <c r="S24" s="1">
        <f>IF($F24&lt;=2,$J24,0)*2/$C$14</f>
        <v>120</v>
      </c>
      <c r="T24" s="1">
        <f>IF($F24&lt;=3,$J24,0)*3/$C$14</f>
        <v>180</v>
      </c>
      <c r="U24" s="1">
        <f>IF($F24&lt;=4,$J24,0)*4/$C$14</f>
        <v>240</v>
      </c>
      <c r="V24" s="1">
        <f>IF($F24&lt;=5,$J24,0)*5/$C$14</f>
        <v>300</v>
      </c>
      <c r="W24" s="1">
        <f>IF($F24&lt;=6,$J24,0)*6/$C$14</f>
        <v>360</v>
      </c>
      <c r="X24" s="1">
        <f>IF($F24&lt;=7,$J24,0)*7/$C$14</f>
        <v>420</v>
      </c>
    </row>
    <row r="25" spans="1:24" ht="36" customHeight="1" thickBot="1" x14ac:dyDescent="0.45">
      <c r="A25" s="112"/>
      <c r="B25" s="17" t="s">
        <v>17</v>
      </c>
      <c r="C25" s="268" t="s">
        <v>11</v>
      </c>
      <c r="D25" s="269"/>
      <c r="E25" s="34" t="s">
        <v>11</v>
      </c>
      <c r="F25" s="268" t="s">
        <v>11</v>
      </c>
      <c r="G25" s="269"/>
      <c r="H25" s="268" t="s">
        <v>11</v>
      </c>
      <c r="I25" s="270"/>
      <c r="J25" s="100">
        <f>SUM(J19:J24)</f>
        <v>203420</v>
      </c>
      <c r="K25" s="103"/>
      <c r="L25" s="103"/>
      <c r="M25" s="103"/>
      <c r="N25" s="113"/>
    </row>
    <row r="26" spans="1:24" ht="36" customHeight="1" thickBot="1" x14ac:dyDescent="0.45">
      <c r="A26" s="116"/>
      <c r="B26" s="117"/>
      <c r="C26" s="271">
        <f>SUM(C20+C22+C24+C23)</f>
        <v>271</v>
      </c>
      <c r="D26" s="271"/>
      <c r="E26" s="118"/>
      <c r="F26" s="118"/>
      <c r="G26" s="118"/>
      <c r="H26" s="117"/>
      <c r="I26" s="117"/>
      <c r="J26" s="117"/>
      <c r="K26" s="117"/>
      <c r="L26" s="117"/>
      <c r="M26" s="117"/>
      <c r="N26" s="119"/>
    </row>
    <row r="27" spans="1:24" ht="36" customHeight="1" thickBot="1" x14ac:dyDescent="0.45">
      <c r="A27" s="109"/>
      <c r="B27" s="103"/>
      <c r="C27" s="110"/>
      <c r="D27" s="110"/>
      <c r="E27" s="111"/>
      <c r="F27" s="111"/>
      <c r="G27" s="111"/>
      <c r="H27" s="103"/>
      <c r="I27" s="103"/>
      <c r="J27" s="103"/>
      <c r="K27" s="103"/>
      <c r="L27" s="103"/>
      <c r="M27" s="103"/>
      <c r="N27" s="109"/>
    </row>
    <row r="28" spans="1:24" ht="47.25" customHeight="1" thickBot="1" x14ac:dyDescent="0.45">
      <c r="A28" s="272" t="s">
        <v>83</v>
      </c>
      <c r="B28" s="273"/>
      <c r="C28" s="273"/>
      <c r="D28" s="273"/>
      <c r="E28" s="273"/>
      <c r="F28" s="273"/>
      <c r="G28" s="273"/>
      <c r="H28" s="273"/>
      <c r="I28" s="273"/>
      <c r="J28" s="273"/>
      <c r="K28" s="273"/>
      <c r="L28" s="273"/>
      <c r="M28" s="273"/>
      <c r="N28" s="274"/>
    </row>
    <row r="29" spans="1:24" ht="36" customHeight="1" thickBot="1" x14ac:dyDescent="0.45">
      <c r="A29" s="102"/>
      <c r="B29" s="120"/>
      <c r="C29" s="120"/>
      <c r="D29" s="120"/>
      <c r="E29" s="120"/>
      <c r="F29" s="120"/>
      <c r="G29" s="120"/>
      <c r="H29" s="120"/>
      <c r="I29" s="120"/>
      <c r="J29" s="120"/>
      <c r="K29" s="120"/>
      <c r="L29" s="120"/>
      <c r="M29" s="120"/>
      <c r="N29" s="104"/>
    </row>
    <row r="30" spans="1:24" ht="35.450000000000003" customHeight="1" thickBot="1" x14ac:dyDescent="0.45">
      <c r="A30" s="102"/>
      <c r="B30" s="275" t="s">
        <v>58</v>
      </c>
      <c r="C30" s="276"/>
      <c r="D30" s="276"/>
      <c r="E30" s="276"/>
      <c r="F30" s="276"/>
      <c r="G30" s="276"/>
      <c r="H30" s="276"/>
      <c r="I30" s="276"/>
      <c r="J30" s="276"/>
      <c r="K30" s="277"/>
      <c r="L30" s="109"/>
      <c r="M30" s="109"/>
      <c r="N30" s="104"/>
      <c r="Q30" s="175" t="s">
        <v>109</v>
      </c>
    </row>
    <row r="31" spans="1:24" ht="35.450000000000003" customHeight="1" thickBot="1" x14ac:dyDescent="0.45">
      <c r="A31" s="102"/>
      <c r="B31" s="144" t="s">
        <v>6</v>
      </c>
      <c r="C31" s="278" t="s">
        <v>82</v>
      </c>
      <c r="D31" s="279"/>
      <c r="E31" s="59" t="s">
        <v>73</v>
      </c>
      <c r="F31" s="280" t="s">
        <v>7</v>
      </c>
      <c r="G31" s="240"/>
      <c r="H31" s="280" t="s">
        <v>8</v>
      </c>
      <c r="I31" s="281"/>
      <c r="J31" s="147" t="s">
        <v>113</v>
      </c>
      <c r="K31" s="148" t="s">
        <v>9</v>
      </c>
      <c r="L31" s="103"/>
      <c r="M31" s="103"/>
      <c r="N31" s="104"/>
      <c r="R31" s="1" t="s">
        <v>100</v>
      </c>
      <c r="S31" s="1" t="s">
        <v>101</v>
      </c>
      <c r="T31" s="1" t="s">
        <v>102</v>
      </c>
      <c r="U31" s="1" t="s">
        <v>103</v>
      </c>
      <c r="V31" s="1" t="s">
        <v>104</v>
      </c>
      <c r="W31" s="1" t="s">
        <v>105</v>
      </c>
      <c r="X31" s="1" t="s">
        <v>106</v>
      </c>
    </row>
    <row r="32" spans="1:24" ht="35.450000000000003" customHeight="1" x14ac:dyDescent="0.4">
      <c r="A32" s="102"/>
      <c r="B32" s="181" t="s">
        <v>16</v>
      </c>
      <c r="C32" s="282"/>
      <c r="D32" s="283"/>
      <c r="E32" s="284"/>
      <c r="F32" s="194">
        <v>1</v>
      </c>
      <c r="G32" s="183" t="s">
        <v>74</v>
      </c>
      <c r="H32" s="285"/>
      <c r="I32" s="286"/>
      <c r="J32" s="185">
        <v>50000</v>
      </c>
      <c r="K32" s="195">
        <f>J32</f>
        <v>50000</v>
      </c>
      <c r="L32" s="103"/>
      <c r="M32" s="103"/>
      <c r="N32" s="104"/>
      <c r="Q32" s="158" t="s">
        <v>16</v>
      </c>
      <c r="R32" s="1">
        <f>IF($F32&lt;=1,$K32,0)</f>
        <v>50000</v>
      </c>
      <c r="S32" s="1">
        <f>IF($F32&lt;=2,$K32,0)</f>
        <v>50000</v>
      </c>
      <c r="T32" s="1">
        <f>IF($F32&lt;=3,$K32,0)</f>
        <v>50000</v>
      </c>
      <c r="U32" s="1">
        <f>IF($F32&lt;=4,$K32,0)</f>
        <v>50000</v>
      </c>
      <c r="V32" s="1">
        <f>IF($F32&lt;=5,$K32,0)</f>
        <v>50000</v>
      </c>
      <c r="W32" s="1">
        <f>IF($F32&lt;=6,$K32,0)</f>
        <v>50000</v>
      </c>
      <c r="X32" s="1">
        <f>IF($F32&lt;=7,$K32,0)</f>
        <v>50000</v>
      </c>
    </row>
    <row r="33" spans="1:24" ht="35.450000000000003" customHeight="1" x14ac:dyDescent="0.4">
      <c r="A33" s="102"/>
      <c r="B33" s="191" t="s">
        <v>12</v>
      </c>
      <c r="C33" s="263"/>
      <c r="D33" s="264"/>
      <c r="E33" s="265"/>
      <c r="F33" s="192">
        <v>1</v>
      </c>
      <c r="G33" s="84" t="s">
        <v>74</v>
      </c>
      <c r="H33" s="266"/>
      <c r="I33" s="267"/>
      <c r="J33" s="88">
        <v>50000</v>
      </c>
      <c r="K33" s="193">
        <f>J33</f>
        <v>50000</v>
      </c>
      <c r="L33" s="103"/>
      <c r="M33" s="103"/>
      <c r="N33" s="104"/>
      <c r="Q33" s="158" t="s">
        <v>12</v>
      </c>
      <c r="R33" s="1">
        <f>IF($F33&lt;=1,$K33,0)</f>
        <v>50000</v>
      </c>
      <c r="S33" s="1">
        <f>IF($F33&lt;=2,$K33,0)</f>
        <v>50000</v>
      </c>
      <c r="T33" s="1">
        <f>IF($F33&lt;=3,$K33,0)</f>
        <v>50000</v>
      </c>
      <c r="U33" s="1">
        <f>IF($F33&lt;=4,$K33,0)</f>
        <v>50000</v>
      </c>
      <c r="V33" s="1">
        <f>IF($F33&lt;=5,$K33,0)</f>
        <v>50000</v>
      </c>
      <c r="W33" s="1">
        <f>IF($F33&lt;=6,$K33,0)</f>
        <v>50000</v>
      </c>
      <c r="X33" s="1">
        <f>IF($F33&lt;=7,$K33,0)</f>
        <v>50000</v>
      </c>
    </row>
    <row r="34" spans="1:24" ht="35.450000000000003" customHeight="1" x14ac:dyDescent="0.4">
      <c r="A34" s="102"/>
      <c r="B34" s="16" t="s">
        <v>13</v>
      </c>
      <c r="C34" s="60">
        <v>30</v>
      </c>
      <c r="D34" s="53" t="s">
        <v>80</v>
      </c>
      <c r="E34" s="57">
        <v>350</v>
      </c>
      <c r="F34" s="57">
        <v>3</v>
      </c>
      <c r="G34" s="53" t="s">
        <v>74</v>
      </c>
      <c r="H34" s="56">
        <v>2</v>
      </c>
      <c r="I34" s="53" t="s">
        <v>75</v>
      </c>
      <c r="J34" s="251"/>
      <c r="K34" s="149">
        <f>IF(H34&lt;0.0001,0,($C$14+1-F34)/H34*C34*E34/0.5)</f>
        <v>52500</v>
      </c>
      <c r="L34" s="103"/>
      <c r="M34" s="103"/>
      <c r="N34" s="104"/>
      <c r="Q34" s="158" t="s">
        <v>108</v>
      </c>
      <c r="R34" s="1">
        <f>IF($F34&lt;=1,$K34,0)*1/$C$14</f>
        <v>0</v>
      </c>
      <c r="S34" s="1">
        <f>IF($F34&lt;=2,$K34,0)*(2+1-F34)/($C$14+1-F34)</f>
        <v>0</v>
      </c>
      <c r="T34" s="1">
        <f>IF($F34&lt;=3,$K34,0)*(3+1-F34)/($C$14+1-F34)</f>
        <v>10500</v>
      </c>
      <c r="U34" s="1">
        <f>IF($F34&lt;=4,$K34,0)*(4+1-F34)/($C$14+1-F34)</f>
        <v>21000</v>
      </c>
      <c r="V34" s="1">
        <f>IF($F34&lt;=5,$K34,0)*(5+1-F34)/($C$14+1-F34)</f>
        <v>31500</v>
      </c>
      <c r="W34" s="1">
        <f>IF($F34&lt;=6,$K34,0)*(6+1-F34)/($C$14+1-F34)</f>
        <v>42000</v>
      </c>
      <c r="X34" s="1">
        <f>IF($F34&lt;=7,$K34,0)*(7+1-F34)/($C$14+1-F34)</f>
        <v>52500</v>
      </c>
    </row>
    <row r="35" spans="1:24" ht="35.450000000000003" customHeight="1" x14ac:dyDescent="0.4">
      <c r="A35" s="102"/>
      <c r="B35" s="16" t="s">
        <v>14</v>
      </c>
      <c r="C35" s="60">
        <v>40</v>
      </c>
      <c r="D35" s="53" t="s">
        <v>80</v>
      </c>
      <c r="E35" s="57">
        <v>250</v>
      </c>
      <c r="F35" s="57">
        <v>1</v>
      </c>
      <c r="G35" s="53" t="s">
        <v>74</v>
      </c>
      <c r="H35" s="56">
        <v>2</v>
      </c>
      <c r="I35" s="53" t="s">
        <v>75</v>
      </c>
      <c r="J35" s="252"/>
      <c r="K35" s="149">
        <f>IF(H35&lt;0.0001,0,($C$14+1-F35)/H35*C35*E35/0.5)</f>
        <v>70000</v>
      </c>
      <c r="L35" s="103"/>
      <c r="M35" s="103"/>
      <c r="N35" s="104"/>
      <c r="Q35" s="158" t="s">
        <v>84</v>
      </c>
      <c r="R35" s="1">
        <f t="shared" ref="R35:R36" si="3">IF($F35&lt;=1,$K35,0)*1/$C$14</f>
        <v>10000</v>
      </c>
      <c r="S35" s="1">
        <f t="shared" ref="S35:S36" si="4">IF($F35&lt;=2,$K35,0)*(2+1-F35)/($C$14+1-F35)</f>
        <v>20000</v>
      </c>
      <c r="T35" s="1">
        <f t="shared" ref="T35:T36" si="5">IF($F35&lt;=3,$K35,0)*(3+1-F35)/($C$14+1-F35)</f>
        <v>30000</v>
      </c>
      <c r="U35" s="1">
        <f t="shared" ref="U35:U36" si="6">IF($F35&lt;=4,$K35,0)*(4+1-F35)/($C$14+1-F35)</f>
        <v>40000</v>
      </c>
      <c r="V35" s="1">
        <f t="shared" ref="V35:V36" si="7">IF($F35&lt;=5,$K35,0)*(5+1-F35)/($C$14+1-F35)</f>
        <v>50000</v>
      </c>
      <c r="W35" s="1">
        <f t="shared" ref="W35:W36" si="8">IF($F35&lt;=6,$K35,0)*(6+1-F35)/($C$14+1-F35)</f>
        <v>60000</v>
      </c>
      <c r="X35" s="1">
        <f t="shared" ref="X35:X36" si="9">IF($F35&lt;=7,$K35,0)*(7+1-F35)/($C$14+1-F35)</f>
        <v>70000</v>
      </c>
    </row>
    <row r="36" spans="1:24" ht="35.450000000000003" customHeight="1" thickBot="1" x14ac:dyDescent="0.45">
      <c r="A36" s="102"/>
      <c r="B36" s="18" t="s">
        <v>15</v>
      </c>
      <c r="C36" s="189">
        <v>10</v>
      </c>
      <c r="D36" s="54" t="s">
        <v>80</v>
      </c>
      <c r="E36" s="58">
        <v>300</v>
      </c>
      <c r="F36" s="58">
        <v>3</v>
      </c>
      <c r="G36" s="54" t="s">
        <v>74</v>
      </c>
      <c r="H36" s="190">
        <v>1</v>
      </c>
      <c r="I36" s="54" t="s">
        <v>75</v>
      </c>
      <c r="J36" s="253"/>
      <c r="K36" s="150">
        <f>IF(H36&lt;0.0001,0,($C$14+1-F36)/H36*C36*E36/5)</f>
        <v>3000</v>
      </c>
      <c r="L36" s="103"/>
      <c r="M36" s="103"/>
      <c r="N36" s="104"/>
      <c r="Q36" s="158" t="s">
        <v>15</v>
      </c>
      <c r="R36" s="1">
        <f t="shared" si="3"/>
        <v>0</v>
      </c>
      <c r="S36" s="1">
        <f t="shared" si="4"/>
        <v>0</v>
      </c>
      <c r="T36" s="1">
        <f t="shared" si="5"/>
        <v>600</v>
      </c>
      <c r="U36" s="1">
        <f t="shared" si="6"/>
        <v>1200</v>
      </c>
      <c r="V36" s="1">
        <f t="shared" si="7"/>
        <v>1800</v>
      </c>
      <c r="W36" s="1">
        <f t="shared" si="8"/>
        <v>2400</v>
      </c>
      <c r="X36" s="1">
        <f t="shared" si="9"/>
        <v>3000</v>
      </c>
    </row>
    <row r="37" spans="1:24" ht="35.450000000000003" customHeight="1" x14ac:dyDescent="0.4">
      <c r="A37" s="102"/>
      <c r="B37" s="153"/>
      <c r="C37" s="154"/>
      <c r="D37" s="154"/>
      <c r="E37" s="154"/>
      <c r="F37" s="155"/>
      <c r="G37" s="151"/>
      <c r="H37" s="152"/>
      <c r="I37" s="152"/>
      <c r="J37" s="156"/>
      <c r="K37" s="157"/>
      <c r="L37" s="103"/>
      <c r="M37" s="103"/>
      <c r="N37" s="104"/>
    </row>
    <row r="38" spans="1:24" ht="35.450000000000003" customHeight="1" x14ac:dyDescent="0.4">
      <c r="A38" s="102"/>
      <c r="B38" s="153"/>
      <c r="C38" s="154"/>
      <c r="D38" s="154"/>
      <c r="E38" s="154"/>
      <c r="F38" s="155"/>
      <c r="G38" s="151"/>
      <c r="H38" s="152"/>
      <c r="I38" s="152"/>
      <c r="J38" s="156"/>
      <c r="K38" s="157"/>
      <c r="L38" s="103"/>
      <c r="M38" s="103"/>
      <c r="N38" s="104"/>
    </row>
    <row r="39" spans="1:24" ht="35.450000000000003" customHeight="1" x14ac:dyDescent="0.4">
      <c r="A39" s="102"/>
      <c r="B39" s="153"/>
      <c r="C39" s="154"/>
      <c r="D39" s="154"/>
      <c r="E39" s="154"/>
      <c r="F39" s="155"/>
      <c r="G39" s="151"/>
      <c r="H39" s="152"/>
      <c r="I39" s="152"/>
      <c r="J39" s="156"/>
      <c r="K39" s="157"/>
      <c r="L39" s="103"/>
      <c r="M39" s="103"/>
      <c r="N39" s="104"/>
    </row>
    <row r="40" spans="1:24" ht="15.75" customHeight="1" thickBot="1" x14ac:dyDescent="0.45">
      <c r="A40" s="102"/>
      <c r="B40" s="120"/>
      <c r="C40" s="120"/>
      <c r="D40" s="120"/>
      <c r="E40" s="120"/>
      <c r="F40" s="120"/>
      <c r="G40" s="120"/>
      <c r="H40" s="120"/>
      <c r="I40" s="120"/>
      <c r="J40" s="120"/>
      <c r="K40" s="120"/>
      <c r="L40" s="120"/>
      <c r="M40" s="120"/>
      <c r="N40" s="104"/>
    </row>
    <row r="41" spans="1:24" ht="43.5" customHeight="1" thickBot="1" x14ac:dyDescent="0.45">
      <c r="A41" s="102"/>
      <c r="B41" s="235" t="s">
        <v>18</v>
      </c>
      <c r="C41" s="236"/>
      <c r="D41" s="236"/>
      <c r="E41" s="236"/>
      <c r="F41" s="236"/>
      <c r="G41" s="236"/>
      <c r="H41" s="236"/>
      <c r="I41" s="237"/>
      <c r="J41" s="205"/>
      <c r="K41" s="62"/>
      <c r="L41" s="232" t="s">
        <v>92</v>
      </c>
      <c r="M41" s="233"/>
      <c r="N41" s="104"/>
    </row>
    <row r="42" spans="1:24" ht="35.450000000000003" customHeight="1" thickBot="1" x14ac:dyDescent="0.45">
      <c r="A42" s="102"/>
      <c r="B42" s="254" t="s">
        <v>6</v>
      </c>
      <c r="C42" s="248" t="s">
        <v>77</v>
      </c>
      <c r="D42" s="242" t="s">
        <v>116</v>
      </c>
      <c r="E42" s="243"/>
      <c r="F42" s="248"/>
      <c r="G42" s="257" t="s">
        <v>76</v>
      </c>
      <c r="H42" s="261" t="s">
        <v>79</v>
      </c>
      <c r="I42" s="259" t="s">
        <v>78</v>
      </c>
      <c r="K42" s="63"/>
      <c r="L42" s="65">
        <f>L14</f>
        <v>350000</v>
      </c>
      <c r="M42" s="64" t="s">
        <v>61</v>
      </c>
      <c r="N42" s="104"/>
    </row>
    <row r="43" spans="1:24" ht="35.450000000000003" customHeight="1" thickBot="1" x14ac:dyDescent="0.45">
      <c r="A43" s="102"/>
      <c r="B43" s="255"/>
      <c r="C43" s="256"/>
      <c r="D43" s="10" t="s">
        <v>19</v>
      </c>
      <c r="E43" s="10" t="s">
        <v>20</v>
      </c>
      <c r="F43" s="199" t="s">
        <v>21</v>
      </c>
      <c r="G43" s="258"/>
      <c r="H43" s="262"/>
      <c r="I43" s="260"/>
      <c r="K43" s="103"/>
      <c r="L43" s="103"/>
      <c r="M43" s="103"/>
      <c r="N43" s="104"/>
    </row>
    <row r="44" spans="1:24" ht="35.25" customHeight="1" thickBot="1" x14ac:dyDescent="0.45">
      <c r="A44" s="102"/>
      <c r="B44" s="206" t="s">
        <v>16</v>
      </c>
      <c r="C44" s="207">
        <v>50000</v>
      </c>
      <c r="D44" s="208"/>
      <c r="E44" s="208"/>
      <c r="F44" s="209"/>
      <c r="G44" s="210"/>
      <c r="H44" s="211">
        <f>SUM(C44:G44)</f>
        <v>50000</v>
      </c>
      <c r="I44" s="212" t="s">
        <v>47</v>
      </c>
      <c r="K44" s="103"/>
      <c r="L44" s="232" t="s">
        <v>93</v>
      </c>
      <c r="M44" s="233"/>
      <c r="N44" s="104"/>
    </row>
    <row r="45" spans="1:24" ht="35.450000000000003" customHeight="1" thickBot="1" x14ac:dyDescent="0.45">
      <c r="A45" s="102"/>
      <c r="B45" s="220" t="s">
        <v>10</v>
      </c>
      <c r="C45" s="221"/>
      <c r="D45" s="222"/>
      <c r="E45" s="222"/>
      <c r="F45" s="223"/>
      <c r="G45" s="224"/>
      <c r="H45" s="224"/>
      <c r="I45" s="225">
        <v>200</v>
      </c>
      <c r="K45" s="103"/>
      <c r="L45" s="65">
        <f>L18</f>
        <v>146580</v>
      </c>
      <c r="M45" s="64" t="s">
        <v>61</v>
      </c>
      <c r="N45" s="104"/>
    </row>
    <row r="46" spans="1:24" ht="35.450000000000003" customHeight="1" thickBot="1" x14ac:dyDescent="0.45">
      <c r="A46" s="102"/>
      <c r="B46" s="213" t="s">
        <v>59</v>
      </c>
      <c r="C46" s="214">
        <v>50000</v>
      </c>
      <c r="D46" s="215"/>
      <c r="E46" s="215"/>
      <c r="F46" s="216"/>
      <c r="G46" s="217"/>
      <c r="H46" s="218">
        <f>SUM(C46:G46)</f>
        <v>50000</v>
      </c>
      <c r="I46" s="219" t="s">
        <v>47</v>
      </c>
      <c r="K46" s="103"/>
      <c r="L46" s="103"/>
      <c r="M46" s="103"/>
      <c r="N46" s="104"/>
    </row>
    <row r="47" spans="1:24" ht="35.450000000000003" customHeight="1" thickBot="1" x14ac:dyDescent="0.45">
      <c r="A47" s="102"/>
      <c r="B47" s="35" t="s">
        <v>22</v>
      </c>
      <c r="C47" s="68"/>
      <c r="D47" s="70"/>
      <c r="E47" s="70"/>
      <c r="F47" s="69">
        <v>52500</v>
      </c>
      <c r="G47" s="71"/>
      <c r="H47" s="72">
        <f>SUM(C47:G47)</f>
        <v>52500</v>
      </c>
      <c r="I47" s="61">
        <f>H47*$H$34/(700*($C$14+1-$F$34))</f>
        <v>30</v>
      </c>
      <c r="K47" s="103"/>
      <c r="L47" s="232" t="s">
        <v>51</v>
      </c>
      <c r="M47" s="234"/>
      <c r="N47" s="104"/>
    </row>
    <row r="48" spans="1:24" ht="35.450000000000003" customHeight="1" thickBot="1" x14ac:dyDescent="0.45">
      <c r="A48" s="102"/>
      <c r="B48" s="35" t="s">
        <v>84</v>
      </c>
      <c r="C48" s="68">
        <v>70000</v>
      </c>
      <c r="D48" s="70"/>
      <c r="E48" s="70"/>
      <c r="F48" s="69"/>
      <c r="G48" s="71"/>
      <c r="H48" s="72">
        <f>SUM(C48:G48)</f>
        <v>70000</v>
      </c>
      <c r="I48" s="61">
        <f>H48*$H$35/(500*($C$14+1-$F$35))</f>
        <v>40</v>
      </c>
      <c r="K48" s="103"/>
      <c r="L48" s="65">
        <f>H50</f>
        <v>225500</v>
      </c>
      <c r="M48" s="64" t="s">
        <v>61</v>
      </c>
      <c r="N48" s="104"/>
    </row>
    <row r="49" spans="1:20" ht="35.25" customHeight="1" thickBot="1" x14ac:dyDescent="0.45">
      <c r="A49" s="102"/>
      <c r="B49" s="35" t="s">
        <v>15</v>
      </c>
      <c r="C49" s="68"/>
      <c r="D49" s="70"/>
      <c r="E49" s="70">
        <v>3000</v>
      </c>
      <c r="F49" s="69"/>
      <c r="G49" s="71"/>
      <c r="H49" s="72">
        <f>SUM(C49:G49)</f>
        <v>3000</v>
      </c>
      <c r="I49" s="61">
        <f>H49*$H$36/(60*($C$14+1-$F$36))</f>
        <v>10</v>
      </c>
      <c r="L49" s="51" t="s">
        <v>70</v>
      </c>
      <c r="M49" s="133" t="str">
        <f>IF(D64&gt;L45,"〇","×")</f>
        <v>〇</v>
      </c>
      <c r="N49" s="104"/>
    </row>
    <row r="50" spans="1:20" ht="35.25" customHeight="1" thickBot="1" x14ac:dyDescent="0.45">
      <c r="A50" s="102"/>
      <c r="B50" s="15" t="s">
        <v>17</v>
      </c>
      <c r="C50" s="203"/>
      <c r="D50" s="204"/>
      <c r="E50" s="204"/>
      <c r="F50" s="204"/>
      <c r="G50" s="204"/>
      <c r="H50" s="67">
        <f>SUM(H44:H49)</f>
        <v>225500</v>
      </c>
      <c r="I50" s="80">
        <f>SUM(I45:I49)</f>
        <v>280</v>
      </c>
      <c r="K50" s="66"/>
      <c r="N50" s="121"/>
    </row>
    <row r="51" spans="1:20" ht="16.5" customHeight="1" x14ac:dyDescent="0.4">
      <c r="A51" s="102"/>
      <c r="B51" s="46"/>
      <c r="C51" s="50"/>
      <c r="D51" s="50"/>
      <c r="E51" s="50"/>
      <c r="F51" s="50"/>
      <c r="G51" s="50"/>
      <c r="H51" s="122"/>
      <c r="I51" s="122"/>
      <c r="J51" s="103"/>
      <c r="K51" s="103"/>
      <c r="L51" s="103"/>
      <c r="M51" s="103"/>
      <c r="N51" s="104"/>
    </row>
    <row r="52" spans="1:20" ht="16.5" customHeight="1" thickBot="1" x14ac:dyDescent="0.45">
      <c r="A52" s="102"/>
      <c r="B52" s="109"/>
      <c r="C52" s="109"/>
      <c r="D52" s="109"/>
      <c r="E52" s="109"/>
      <c r="F52" s="109"/>
      <c r="G52" s="109"/>
      <c r="H52" s="109"/>
      <c r="I52" s="109"/>
      <c r="J52" s="109"/>
      <c r="K52" s="109"/>
      <c r="L52" s="109"/>
      <c r="M52" s="109"/>
      <c r="N52" s="104"/>
    </row>
    <row r="53" spans="1:20" ht="35.450000000000003" customHeight="1" thickBot="1" x14ac:dyDescent="0.45">
      <c r="A53" s="102"/>
      <c r="B53" s="235" t="s">
        <v>24</v>
      </c>
      <c r="C53" s="236"/>
      <c r="D53" s="236"/>
      <c r="E53" s="236"/>
      <c r="F53" s="236"/>
      <c r="G53" s="236"/>
      <c r="H53" s="236"/>
      <c r="I53" s="236"/>
      <c r="J53" s="236"/>
      <c r="K53" s="236"/>
      <c r="L53" s="236"/>
      <c r="M53" s="237"/>
      <c r="N53" s="104"/>
    </row>
    <row r="54" spans="1:20" ht="35.450000000000003" customHeight="1" thickBot="1" x14ac:dyDescent="0.45">
      <c r="A54" s="102"/>
      <c r="B54" s="238" t="s">
        <v>6</v>
      </c>
      <c r="C54" s="240" t="s">
        <v>25</v>
      </c>
      <c r="D54" s="242"/>
      <c r="E54" s="243"/>
      <c r="F54" s="244" t="s">
        <v>87</v>
      </c>
      <c r="G54" s="246" t="s">
        <v>26</v>
      </c>
      <c r="H54" s="242" t="s">
        <v>27</v>
      </c>
      <c r="I54" s="243"/>
      <c r="J54" s="248"/>
      <c r="K54" s="246" t="s">
        <v>28</v>
      </c>
      <c r="L54" s="246" t="s">
        <v>29</v>
      </c>
      <c r="M54" s="249" t="s">
        <v>69</v>
      </c>
      <c r="N54" s="104"/>
      <c r="S54" s="1" t="s">
        <v>16</v>
      </c>
      <c r="T54" s="1" t="s">
        <v>42</v>
      </c>
    </row>
    <row r="55" spans="1:20" ht="35.450000000000003" customHeight="1" thickBot="1" x14ac:dyDescent="0.45">
      <c r="A55" s="102"/>
      <c r="B55" s="239"/>
      <c r="C55" s="241"/>
      <c r="D55" s="143" t="s">
        <v>85</v>
      </c>
      <c r="E55" s="143" t="s">
        <v>86</v>
      </c>
      <c r="F55" s="245"/>
      <c r="G55" s="247"/>
      <c r="H55" s="143" t="s">
        <v>30</v>
      </c>
      <c r="I55" s="143" t="s">
        <v>31</v>
      </c>
      <c r="J55" s="143" t="s">
        <v>32</v>
      </c>
      <c r="K55" s="247"/>
      <c r="L55" s="247"/>
      <c r="M55" s="250"/>
      <c r="N55" s="140"/>
      <c r="P55" s="141" t="s">
        <v>71</v>
      </c>
      <c r="S55" s="1" t="s">
        <v>10</v>
      </c>
      <c r="T55" s="1" t="s">
        <v>39</v>
      </c>
    </row>
    <row r="56" spans="1:20" ht="35.450000000000003" customHeight="1" x14ac:dyDescent="0.4">
      <c r="A56" s="102"/>
      <c r="B56" s="36" t="s">
        <v>16</v>
      </c>
      <c r="C56" s="32" t="s">
        <v>42</v>
      </c>
      <c r="D56" s="73">
        <v>50000</v>
      </c>
      <c r="E56" s="75"/>
      <c r="F56" s="30">
        <f t="shared" ref="F56:F63" si="10">IF(B56="携帯トイレ",0,IF(B56="仮設トイレ",D56*$H$34/(700*($C$14+1-$F$34)),IF(B56="マンホールトイレ",D56*$H$35/(500*($C$14+1-$F$35)),IF(B56="トイレカー",D56*$H$36/(60*($C$14+1-$F$36)),IF(B56="簡易トイレ（本体）",E56,0)))))</f>
        <v>0</v>
      </c>
      <c r="G56" s="43" t="s">
        <v>119</v>
      </c>
      <c r="H56" s="33" t="s">
        <v>118</v>
      </c>
      <c r="I56" s="33" t="s">
        <v>35</v>
      </c>
      <c r="J56" s="43" t="s">
        <v>44</v>
      </c>
      <c r="K56" s="42" t="s">
        <v>45</v>
      </c>
      <c r="L56" s="41" t="s">
        <v>46</v>
      </c>
      <c r="M56" s="44" t="s">
        <v>47</v>
      </c>
      <c r="N56" s="140"/>
      <c r="P56" s="140">
        <f>IF(B56="簡易トイレ（本体）",1,IF(B56="",1,0))</f>
        <v>0</v>
      </c>
      <c r="S56" s="1" t="s">
        <v>12</v>
      </c>
      <c r="T56" s="1" t="s">
        <v>56</v>
      </c>
    </row>
    <row r="57" spans="1:20" ht="35.450000000000003" customHeight="1" x14ac:dyDescent="0.4">
      <c r="A57" s="102"/>
      <c r="B57" s="36" t="s">
        <v>10</v>
      </c>
      <c r="C57" s="32" t="s">
        <v>56</v>
      </c>
      <c r="D57" s="73"/>
      <c r="E57" s="75">
        <v>200</v>
      </c>
      <c r="F57" s="30">
        <f t="shared" si="10"/>
        <v>200</v>
      </c>
      <c r="G57" s="43" t="s">
        <v>43</v>
      </c>
      <c r="H57" s="43" t="s">
        <v>62</v>
      </c>
      <c r="I57" s="33" t="s">
        <v>35</v>
      </c>
      <c r="J57" s="43" t="s">
        <v>64</v>
      </c>
      <c r="K57" s="41" t="s">
        <v>66</v>
      </c>
      <c r="L57" s="41" t="s">
        <v>47</v>
      </c>
      <c r="M57" s="44" t="s">
        <v>67</v>
      </c>
      <c r="N57" s="140"/>
      <c r="P57" s="140">
        <f t="shared" ref="P57:P63" si="11">IF(B57="簡易トイレ（本体）",1,IF(B57="",1,0))</f>
        <v>1</v>
      </c>
      <c r="S57" s="1" t="s">
        <v>22</v>
      </c>
      <c r="T57" s="1" t="s">
        <v>57</v>
      </c>
    </row>
    <row r="58" spans="1:20" ht="35.450000000000003" customHeight="1" x14ac:dyDescent="0.4">
      <c r="A58" s="102"/>
      <c r="B58" s="35" t="s">
        <v>12</v>
      </c>
      <c r="C58" s="31" t="s">
        <v>42</v>
      </c>
      <c r="D58" s="74">
        <v>50000</v>
      </c>
      <c r="E58" s="76"/>
      <c r="F58" s="37">
        <f t="shared" si="10"/>
        <v>0</v>
      </c>
      <c r="G58" s="33" t="s">
        <v>33</v>
      </c>
      <c r="H58" s="33" t="s">
        <v>34</v>
      </c>
      <c r="I58" s="33" t="s">
        <v>35</v>
      </c>
      <c r="J58" s="33" t="s">
        <v>65</v>
      </c>
      <c r="K58" s="42" t="s">
        <v>120</v>
      </c>
      <c r="L58" s="42" t="s">
        <v>46</v>
      </c>
      <c r="M58" s="45" t="s">
        <v>121</v>
      </c>
      <c r="N58" s="140"/>
      <c r="P58" s="140">
        <f t="shared" si="11"/>
        <v>0</v>
      </c>
      <c r="S58" s="1" t="s">
        <v>23</v>
      </c>
      <c r="T58" s="1" t="s">
        <v>60</v>
      </c>
    </row>
    <row r="59" spans="1:20" ht="35.450000000000003" customHeight="1" x14ac:dyDescent="0.4">
      <c r="A59" s="102"/>
      <c r="B59" s="35" t="s">
        <v>22</v>
      </c>
      <c r="C59" s="31" t="s">
        <v>60</v>
      </c>
      <c r="D59" s="74">
        <v>52500</v>
      </c>
      <c r="E59" s="76"/>
      <c r="F59" s="25">
        <f t="shared" si="10"/>
        <v>30</v>
      </c>
      <c r="G59" s="33" t="s">
        <v>33</v>
      </c>
      <c r="H59" s="33" t="s">
        <v>34</v>
      </c>
      <c r="I59" s="33" t="s">
        <v>35</v>
      </c>
      <c r="J59" s="33" t="s">
        <v>65</v>
      </c>
      <c r="K59" s="42" t="s">
        <v>122</v>
      </c>
      <c r="L59" s="42" t="s">
        <v>37</v>
      </c>
      <c r="M59" s="45" t="s">
        <v>38</v>
      </c>
      <c r="N59" s="140"/>
      <c r="P59" s="140">
        <f t="shared" si="11"/>
        <v>0</v>
      </c>
      <c r="S59" s="1" t="s">
        <v>15</v>
      </c>
    </row>
    <row r="60" spans="1:20" ht="35.450000000000003" customHeight="1" x14ac:dyDescent="0.4">
      <c r="A60" s="102"/>
      <c r="B60" s="35" t="s">
        <v>23</v>
      </c>
      <c r="C60" s="31" t="s">
        <v>42</v>
      </c>
      <c r="D60" s="74">
        <v>70000</v>
      </c>
      <c r="E60" s="76"/>
      <c r="F60" s="25">
        <f t="shared" si="10"/>
        <v>40</v>
      </c>
      <c r="G60" s="33" t="s">
        <v>33</v>
      </c>
      <c r="H60" s="33" t="s">
        <v>123</v>
      </c>
      <c r="I60" s="33" t="s">
        <v>35</v>
      </c>
      <c r="J60" s="33" t="s">
        <v>63</v>
      </c>
      <c r="K60" s="42" t="s">
        <v>40</v>
      </c>
      <c r="L60" s="42" t="s">
        <v>46</v>
      </c>
      <c r="M60" s="45" t="s">
        <v>47</v>
      </c>
      <c r="N60" s="140"/>
      <c r="P60" s="140">
        <f t="shared" si="11"/>
        <v>0</v>
      </c>
    </row>
    <row r="61" spans="1:20" ht="35.450000000000003" customHeight="1" x14ac:dyDescent="0.4">
      <c r="A61" s="102"/>
      <c r="B61" s="35" t="s">
        <v>15</v>
      </c>
      <c r="C61" s="31" t="s">
        <v>41</v>
      </c>
      <c r="D61" s="74">
        <v>3000</v>
      </c>
      <c r="E61" s="76"/>
      <c r="F61" s="25">
        <f t="shared" si="10"/>
        <v>0</v>
      </c>
      <c r="G61" s="33" t="s">
        <v>33</v>
      </c>
      <c r="H61" s="33" t="s">
        <v>34</v>
      </c>
      <c r="I61" s="33" t="s">
        <v>35</v>
      </c>
      <c r="J61" s="33" t="s">
        <v>63</v>
      </c>
      <c r="K61" s="42" t="s">
        <v>36</v>
      </c>
      <c r="L61" s="42" t="s">
        <v>37</v>
      </c>
      <c r="M61" s="45" t="s">
        <v>68</v>
      </c>
      <c r="N61" s="140"/>
      <c r="P61" s="140">
        <f t="shared" si="11"/>
        <v>0</v>
      </c>
    </row>
    <row r="62" spans="1:20" ht="35.450000000000003" customHeight="1" x14ac:dyDescent="0.4">
      <c r="A62" s="102"/>
      <c r="B62" s="36"/>
      <c r="C62" s="32"/>
      <c r="D62" s="73"/>
      <c r="E62" s="75"/>
      <c r="F62" s="30">
        <f t="shared" si="10"/>
        <v>0</v>
      </c>
      <c r="G62" s="43"/>
      <c r="H62" s="43"/>
      <c r="I62" s="43"/>
      <c r="J62" s="43"/>
      <c r="K62" s="42"/>
      <c r="L62" s="41"/>
      <c r="M62" s="44"/>
      <c r="N62" s="140"/>
      <c r="P62" s="140">
        <f t="shared" si="11"/>
        <v>1</v>
      </c>
    </row>
    <row r="63" spans="1:20" ht="35.450000000000003" customHeight="1" thickBot="1" x14ac:dyDescent="0.45">
      <c r="A63" s="102"/>
      <c r="B63" s="36"/>
      <c r="C63" s="32"/>
      <c r="D63" s="73"/>
      <c r="E63" s="75"/>
      <c r="F63" s="26">
        <f t="shared" si="10"/>
        <v>0</v>
      </c>
      <c r="G63" s="43"/>
      <c r="H63" s="43"/>
      <c r="I63" s="43"/>
      <c r="J63" s="43"/>
      <c r="K63" s="42"/>
      <c r="L63" s="41"/>
      <c r="M63" s="44"/>
      <c r="N63" s="140"/>
      <c r="P63" s="142">
        <f t="shared" si="11"/>
        <v>1</v>
      </c>
    </row>
    <row r="64" spans="1:20" ht="35.450000000000003" customHeight="1" thickBot="1" x14ac:dyDescent="0.45">
      <c r="A64" s="102"/>
      <c r="B64" s="15" t="s">
        <v>17</v>
      </c>
      <c r="C64" s="146" t="s">
        <v>47</v>
      </c>
      <c r="D64" s="39">
        <f>SUM(D56:D63)</f>
        <v>225500</v>
      </c>
      <c r="E64" s="40">
        <f>SUM(E56:E63)</f>
        <v>200</v>
      </c>
      <c r="F64" s="40">
        <f>SUM(F56:F63)</f>
        <v>270</v>
      </c>
      <c r="G64" s="38" t="s">
        <v>47</v>
      </c>
      <c r="H64" s="38" t="s">
        <v>47</v>
      </c>
      <c r="I64" s="38" t="s">
        <v>47</v>
      </c>
      <c r="J64" s="38" t="s">
        <v>47</v>
      </c>
      <c r="K64" s="38" t="s">
        <v>47</v>
      </c>
      <c r="L64" s="38" t="s">
        <v>47</v>
      </c>
      <c r="M64" s="38" t="s">
        <v>47</v>
      </c>
      <c r="N64" s="104"/>
    </row>
    <row r="65" spans="1:14" ht="34.5" customHeight="1" thickBot="1" x14ac:dyDescent="0.45">
      <c r="A65" s="102"/>
      <c r="B65" s="46"/>
      <c r="C65" s="47"/>
      <c r="D65" s="48"/>
      <c r="E65" s="49"/>
      <c r="F65" s="49"/>
      <c r="G65" s="50"/>
      <c r="H65" s="50"/>
      <c r="I65" s="50"/>
      <c r="J65" s="50"/>
      <c r="K65" s="50"/>
      <c r="L65" s="50"/>
      <c r="M65" s="50"/>
      <c r="N65" s="104"/>
    </row>
    <row r="66" spans="1:14" ht="37.5" customHeight="1" thickBot="1" x14ac:dyDescent="0.45">
      <c r="A66" s="102"/>
      <c r="B66" s="226" t="s">
        <v>48</v>
      </c>
      <c r="C66" s="227"/>
      <c r="D66" s="227"/>
      <c r="E66" s="227"/>
      <c r="F66" s="227"/>
      <c r="G66" s="227"/>
      <c r="H66" s="228"/>
      <c r="I66" s="27"/>
      <c r="J66" s="109"/>
      <c r="K66" s="229"/>
      <c r="L66" s="229"/>
      <c r="M66" s="229"/>
      <c r="N66" s="104"/>
    </row>
    <row r="67" spans="1:14" s="13" customFormat="1" ht="37.5" customHeight="1" thickBot="1" x14ac:dyDescent="0.45">
      <c r="A67" s="123"/>
      <c r="B67" s="19"/>
      <c r="C67" s="146" t="s">
        <v>49</v>
      </c>
      <c r="D67" s="22" t="s">
        <v>94</v>
      </c>
      <c r="E67" s="23" t="s">
        <v>50</v>
      </c>
      <c r="F67" s="22" t="s">
        <v>95</v>
      </c>
      <c r="G67" s="22" t="s">
        <v>96</v>
      </c>
      <c r="H67" s="24" t="s">
        <v>52</v>
      </c>
      <c r="I67" s="28"/>
      <c r="J67" s="124"/>
      <c r="K67" s="77"/>
      <c r="L67" s="78"/>
      <c r="M67" s="77"/>
      <c r="N67" s="125"/>
    </row>
    <row r="68" spans="1:14" customFormat="1" ht="37.5" customHeight="1" x14ac:dyDescent="0.4">
      <c r="A68" s="108"/>
      <c r="B68" s="20" t="s">
        <v>53</v>
      </c>
      <c r="C68" s="134">
        <f>C15/50</f>
        <v>200</v>
      </c>
      <c r="D68" s="230">
        <f>SUM(C20+C22+C23+C24)</f>
        <v>271</v>
      </c>
      <c r="E68" s="135" t="str">
        <f>IF(D68&gt;C68,"〇","×")</f>
        <v>〇</v>
      </c>
      <c r="F68" s="230">
        <f>F64</f>
        <v>270</v>
      </c>
      <c r="G68" s="230">
        <f>D68+F68</f>
        <v>541</v>
      </c>
      <c r="H68" s="136" t="str">
        <f>IF(G68&gt;C68,"〇","×")</f>
        <v>〇</v>
      </c>
      <c r="I68" s="29"/>
      <c r="J68" s="126"/>
      <c r="K68" s="77"/>
      <c r="L68" s="79"/>
      <c r="M68" s="77"/>
      <c r="N68" s="107"/>
    </row>
    <row r="69" spans="1:14" customFormat="1" ht="37.5" customHeight="1" thickBot="1" x14ac:dyDescent="0.45">
      <c r="A69" s="108"/>
      <c r="B69" s="21" t="s">
        <v>54</v>
      </c>
      <c r="C69" s="137">
        <f>C15/20</f>
        <v>500</v>
      </c>
      <c r="D69" s="231"/>
      <c r="E69" s="138" t="str">
        <f>IF(D68&gt;C69,"○","×")</f>
        <v>×</v>
      </c>
      <c r="F69" s="231"/>
      <c r="G69" s="231"/>
      <c r="H69" s="139" t="str">
        <f>IF(G68&gt;C69,"〇","×")</f>
        <v>〇</v>
      </c>
      <c r="I69" s="29"/>
      <c r="J69" s="126"/>
      <c r="K69" s="126"/>
      <c r="L69" s="126"/>
      <c r="M69" s="126"/>
      <c r="N69" s="107"/>
    </row>
    <row r="70" spans="1:14" customFormat="1" ht="37.5" customHeight="1" thickBot="1" x14ac:dyDescent="0.45">
      <c r="A70" s="127"/>
      <c r="B70" s="128"/>
      <c r="C70" s="128"/>
      <c r="D70" s="128"/>
      <c r="E70" s="128"/>
      <c r="F70" s="128"/>
      <c r="G70" s="128"/>
      <c r="H70" s="128"/>
      <c r="I70" s="128"/>
      <c r="J70" s="129"/>
      <c r="K70" s="129"/>
      <c r="L70" s="129"/>
      <c r="M70" s="129"/>
      <c r="N70" s="130"/>
    </row>
  </sheetData>
  <sheetProtection algorithmName="SHA-512" hashValue="ND7cuOalEsH07nsWYUtreHjtZ5JSAyljO3o5YIDudE7Vvqh6GZth0Wptgdj4JITAr4+vBDKw+iVeSTQT2F3HYQ==" saltValue="8iag3M1HWlNTWKSLXT/81Q==" spinCount="100000" sheet="1" objects="1" scenarios="1"/>
  <mergeCells count="53">
    <mergeCell ref="T10:X11"/>
    <mergeCell ref="L44:M44"/>
    <mergeCell ref="L47:M47"/>
    <mergeCell ref="C33:E33"/>
    <mergeCell ref="C32:E32"/>
    <mergeCell ref="H33:I33"/>
    <mergeCell ref="H32:I32"/>
    <mergeCell ref="B30:K30"/>
    <mergeCell ref="J34:J36"/>
    <mergeCell ref="C26:D26"/>
    <mergeCell ref="A28:N28"/>
    <mergeCell ref="C31:D31"/>
    <mergeCell ref="F31:G31"/>
    <mergeCell ref="H31:I31"/>
    <mergeCell ref="L41:M41"/>
    <mergeCell ref="I42:I43"/>
    <mergeCell ref="D68:D69"/>
    <mergeCell ref="F68:F69"/>
    <mergeCell ref="G68:G69"/>
    <mergeCell ref="K54:K55"/>
    <mergeCell ref="B53:M53"/>
    <mergeCell ref="L54:L55"/>
    <mergeCell ref="M54:M55"/>
    <mergeCell ref="B66:H66"/>
    <mergeCell ref="K66:M66"/>
    <mergeCell ref="H54:J54"/>
    <mergeCell ref="B54:B55"/>
    <mergeCell ref="C54:C55"/>
    <mergeCell ref="D54:E54"/>
    <mergeCell ref="F54:F55"/>
    <mergeCell ref="G54:G55"/>
    <mergeCell ref="C18:D18"/>
    <mergeCell ref="F18:G18"/>
    <mergeCell ref="H18:I18"/>
    <mergeCell ref="C25:D25"/>
    <mergeCell ref="F25:G25"/>
    <mergeCell ref="H25:I25"/>
    <mergeCell ref="B41:I41"/>
    <mergeCell ref="D42:F42"/>
    <mergeCell ref="G42:G43"/>
    <mergeCell ref="B42:B43"/>
    <mergeCell ref="C42:C43"/>
    <mergeCell ref="H42:H43"/>
    <mergeCell ref="A11:N11"/>
    <mergeCell ref="B13:D13"/>
    <mergeCell ref="L13:M13"/>
    <mergeCell ref="B17:J17"/>
    <mergeCell ref="L17:M17"/>
    <mergeCell ref="A5:F5"/>
    <mergeCell ref="H5:N5"/>
    <mergeCell ref="A6:F9"/>
    <mergeCell ref="H6:N9"/>
    <mergeCell ref="D2:L3"/>
  </mergeCells>
  <phoneticPr fontId="2"/>
  <conditionalFormatting sqref="D56">
    <cfRule type="expression" dxfId="15" priority="3">
      <formula>$B$56="簡易トイレ（本体）"</formula>
    </cfRule>
  </conditionalFormatting>
  <conditionalFormatting sqref="D57">
    <cfRule type="expression" dxfId="14" priority="8">
      <formula>$B$57="簡易トイレ（本体）"</formula>
    </cfRule>
  </conditionalFormatting>
  <conditionalFormatting sqref="D58">
    <cfRule type="expression" dxfId="13" priority="7">
      <formula>$B$58="簡易トイレ（本体）"</formula>
    </cfRule>
  </conditionalFormatting>
  <conditionalFormatting sqref="D59">
    <cfRule type="expression" dxfId="12" priority="6">
      <formula>$B$59="簡易トイレ（本体）"</formula>
    </cfRule>
  </conditionalFormatting>
  <conditionalFormatting sqref="D60">
    <cfRule type="expression" dxfId="11" priority="5">
      <formula>$B$60="簡易トイレ（本体）"</formula>
    </cfRule>
  </conditionalFormatting>
  <conditionalFormatting sqref="D61">
    <cfRule type="expression" dxfId="10" priority="4">
      <formula>$B$61="簡易トイレ（本体）"</formula>
    </cfRule>
  </conditionalFormatting>
  <conditionalFormatting sqref="D62">
    <cfRule type="expression" dxfId="9" priority="2">
      <formula>$B$62</formula>
    </cfRule>
  </conditionalFormatting>
  <conditionalFormatting sqref="D63">
    <cfRule type="expression" dxfId="8" priority="1">
      <formula>$B$63="簡易トイレ（本体）"</formula>
    </cfRule>
  </conditionalFormatting>
  <conditionalFormatting sqref="E56">
    <cfRule type="expression" dxfId="7" priority="14">
      <formula>$P$56=0</formula>
    </cfRule>
  </conditionalFormatting>
  <conditionalFormatting sqref="E57">
    <cfRule type="expression" dxfId="6" priority="9">
      <formula>$P$57=0</formula>
    </cfRule>
  </conditionalFormatting>
  <conditionalFormatting sqref="E58">
    <cfRule type="expression" dxfId="5" priority="10">
      <formula>$P$58=0</formula>
    </cfRule>
  </conditionalFormatting>
  <conditionalFormatting sqref="E59">
    <cfRule type="expression" dxfId="4" priority="11">
      <formula>$P$59=0</formula>
    </cfRule>
  </conditionalFormatting>
  <conditionalFormatting sqref="E60">
    <cfRule type="expression" dxfId="3" priority="12">
      <formula>$P$60=0</formula>
    </cfRule>
  </conditionalFormatting>
  <conditionalFormatting sqref="E61">
    <cfRule type="expression" dxfId="2" priority="13">
      <formula>$P$61=0</formula>
    </cfRule>
  </conditionalFormatting>
  <conditionalFormatting sqref="E62">
    <cfRule type="expression" dxfId="1" priority="15">
      <formula>$P$62=0</formula>
    </cfRule>
  </conditionalFormatting>
  <conditionalFormatting sqref="E63">
    <cfRule type="expression" dxfId="0" priority="16">
      <formula>$P$63=0</formula>
    </cfRule>
  </conditionalFormatting>
  <dataValidations count="2">
    <dataValidation type="list" allowBlank="1" showInputMessage="1" showErrorMessage="1" sqref="C56:C63" xr:uid="{AA06B2B4-00FB-404E-81CE-3570A4CEA05E}">
      <formula1>$T$54:$T$60</formula1>
    </dataValidation>
    <dataValidation type="list" allowBlank="1" showInputMessage="1" showErrorMessage="1" sqref="B56:B63" xr:uid="{72D84436-688B-448D-8F07-90B2DAAF391F}">
      <formula1>$S$54:$S$59</formula1>
    </dataValidation>
  </dataValidations>
  <printOptions horizontalCentered="1" verticalCentered="1"/>
  <pageMargins left="0.31496062992125984" right="0.31496062992125984" top="0.35433070866141736" bottom="0.35433070866141736" header="0" footer="0"/>
  <pageSetup paperSize="8" scale="4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CCF0E-246D-437A-BB22-58E973C056DA}">
  <sheetPr codeName="Sheet3">
    <pageSetUpPr fitToPage="1"/>
  </sheetPr>
  <dimension ref="E41:F50"/>
  <sheetViews>
    <sheetView view="pageBreakPreview" zoomScale="130" zoomScaleNormal="145" zoomScaleSheetLayoutView="130" workbookViewId="0">
      <selection activeCell="P58" sqref="P58"/>
    </sheetView>
  </sheetViews>
  <sheetFormatPr defaultRowHeight="18.75" x14ac:dyDescent="0.4"/>
  <sheetData>
    <row r="41" spans="6:6" x14ac:dyDescent="0.4">
      <c r="F41">
        <f>IF(E41&lt;0.0001,0,($B$12+1-D41)/E41*B41*C41/0.5)</f>
        <v>0</v>
      </c>
    </row>
    <row r="50" spans="5:5" x14ac:dyDescent="0.4">
      <c r="E50">
        <f>IF(A50="携帯トイレ",0,IF(A50="仮設トイレ",C50/(700*$B$12),IF(A50="マンホールトイレ",C50/(200*$B$12),IF(A50="トイレカー",C50/(60*$B$12),IF(A50="簡易トイレ（本体）",D50,0)))))</f>
        <v>0</v>
      </c>
    </row>
  </sheetData>
  <phoneticPr fontId="2"/>
  <printOptions horizontalCentered="1" verticalCentered="1"/>
  <pageMargins left="0.25" right="0.25" top="0.75" bottom="0.75" header="0.3" footer="0.3"/>
  <pageSetup paperSize="9" scale="6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46A4D7DD821EC4CAAB0BE2F783964A9" ma:contentTypeVersion="14" ma:contentTypeDescription="新しいドキュメントを作成します。" ma:contentTypeScope="" ma:versionID="427f2d447d6a6a788589db3b93ae0e6b">
  <xsd:schema xmlns:xsd="http://www.w3.org/2001/XMLSchema" xmlns:xs="http://www.w3.org/2001/XMLSchema" xmlns:p="http://schemas.microsoft.com/office/2006/metadata/properties" xmlns:ns2="df248094-8c8d-4b2a-b499-94fc36e82adb" xmlns:ns3="1da8a86e-78ad-4d1b-aa23-ba4c7618729f" targetNamespace="http://schemas.microsoft.com/office/2006/metadata/properties" ma:root="true" ma:fieldsID="7dfa8e2a750fb675960045a87e9fc9c5" ns2:_="" ns3:_="">
    <xsd:import namespace="df248094-8c8d-4b2a-b499-94fc36e82adb"/>
    <xsd:import namespace="1da8a86e-78ad-4d1b-aa23-ba4c761872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248094-8c8d-4b2a-b499-94fc36e82a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da8a86e-78ad-4d1b-aa23-ba4c7618729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fbfbbe1-72a6-4a3f-ab3c-34337a6a3122}" ma:internalName="TaxCatchAll" ma:showField="CatchAllData" ma:web="1da8a86e-78ad-4d1b-aa23-ba4c761872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f248094-8c8d-4b2a-b499-94fc36e82adb">
      <Terms xmlns="http://schemas.microsoft.com/office/infopath/2007/PartnerControls"/>
    </lcf76f155ced4ddcb4097134ff3c332f>
    <TaxCatchAll xmlns="1da8a86e-78ad-4d1b-aa23-ba4c7618729f" xsi:nil="true"/>
  </documentManagement>
</p:properties>
</file>

<file path=customXml/itemProps1.xml><?xml version="1.0" encoding="utf-8"?>
<ds:datastoreItem xmlns:ds="http://schemas.openxmlformats.org/officeDocument/2006/customXml" ds:itemID="{AC90BAB0-75C9-4F74-9B20-6FCA7AC6DEB0}">
  <ds:schemaRefs>
    <ds:schemaRef ds:uri="http://schemas.microsoft.com/sharepoint/v3/contenttype/forms"/>
  </ds:schemaRefs>
</ds:datastoreItem>
</file>

<file path=customXml/itemProps2.xml><?xml version="1.0" encoding="utf-8"?>
<ds:datastoreItem xmlns:ds="http://schemas.openxmlformats.org/officeDocument/2006/customXml" ds:itemID="{60E3538A-AFFA-4675-8F33-5AA479A6CF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248094-8c8d-4b2a-b499-94fc36e82adb"/>
    <ds:schemaRef ds:uri="1da8a86e-78ad-4d1b-aa23-ba4c761872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7DE6246-1AA3-4422-A977-595FE3ECD5F8}">
  <ds:schemaRefs>
    <ds:schemaRef ds:uri="http://schemas.openxmlformats.org/package/2006/metadata/core-properties"/>
    <ds:schemaRef ds:uri="http://purl.org/dc/terms/"/>
    <ds:schemaRef ds:uri="http://schemas.microsoft.com/office/2006/metadata/properties"/>
    <ds:schemaRef ds:uri="df248094-8c8d-4b2a-b499-94fc36e82adb"/>
    <ds:schemaRef ds:uri="http://purl.org/dc/dcmitype/"/>
    <ds:schemaRef ds:uri="http://purl.org/dc/elements/1.1/"/>
    <ds:schemaRef ds:uri="http://schemas.microsoft.com/office/2006/documentManagement/types"/>
    <ds:schemaRef ds:uri="http://www.w3.org/XML/1998/namespace"/>
    <ds:schemaRef ds:uri="http://schemas.microsoft.com/office/infopath/2007/PartnerControls"/>
    <ds:schemaRef ds:uri="1da8a86e-78ad-4d1b-aa23-ba4c7618729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vt:lpstr>
      <vt:lpstr>記入例 </vt:lpstr>
      <vt:lpstr>各事項補足説明</vt:lpstr>
      <vt:lpstr>各事項補足説明!Print_Area</vt:lpstr>
      <vt:lpstr>'記入例 '!Print_Area</vt:lpstr>
      <vt:lpstr>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藤川 修平(FUJIKAWA Shuhei)</dc:creator>
  <cp:keywords/>
  <dc:description/>
  <cp:lastModifiedBy>宮本 裕喜(MIYAMOTO Yuki)</cp:lastModifiedBy>
  <cp:revision/>
  <cp:lastPrinted>2025-06-27T04:04:28Z</cp:lastPrinted>
  <dcterms:created xsi:type="dcterms:W3CDTF">2025-05-22T10:19:45Z</dcterms:created>
  <dcterms:modified xsi:type="dcterms:W3CDTF">2025-06-27T09:44:12Z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0x010100446A4D7DD821EC4CAAB0BE2F783964A9</vt:lpwstr>
  </property>
  <property fmtid="{D5CDD505-2E9C-101B-9397-08002B2CF9AE}" pid="3" name="MediaServiceImageTags">
    <vt:lpwstr/>
  </property>
</Properties>
</file>